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activeX/activeX2.xml" ContentType="application/vnd.ms-office.activeX+xml"/>
  <Override PartName="/xl/activeX/activeX1.xml" ContentType="application/vnd.ms-office.activeX+xml"/>
  <Override PartName="/xl/activeX/activeX3.xml" ContentType="application/vnd.ms-office.activeX+xml"/>
  <Override PartName="/xl/activeX/activeX4.xml" ContentType="application/vnd.ms-office.activeX+xml"/>
  <Override PartName="/xl/activeX/activeX2.bin" ContentType="application/vnd.ms-office.activeX"/>
  <Override PartName="/xl/activeX/activeX1.bin" ContentType="application/vnd.ms-office.activeX"/>
  <Override PartName="/xl/activeX/activeX3.bin" ContentType="application/vnd.ms-office.activeX"/>
  <Override PartName="/xl/activeX/activeX4.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24226"/>
  <mc:AlternateContent xmlns:mc="http://schemas.openxmlformats.org/markup-compatibility/2006">
    <mc:Choice Requires="x15">
      <x15ac:absPath xmlns:x15ac="http://schemas.microsoft.com/office/spreadsheetml/2010/11/ac" url="\\Holtbizserver\d\Holt Biz Consulting Desktop Files\FY25\Budgets\"/>
    </mc:Choice>
  </mc:AlternateContent>
  <xr:revisionPtr revIDLastSave="6" documentId="13_ncr:1_{AF3220B3-9473-44FB-B18A-D6C1FFEEB8C3}" xr6:coauthVersionLast="47" xr6:coauthVersionMax="47" xr10:uidLastSave="{96855BBD-10B6-4A43-9E1C-899383759741}"/>
  <bookViews>
    <workbookView xWindow="14303" yWindow="-98" windowWidth="19394" windowHeight="10276" xr2:uid="{00000000-000D-0000-FFFF-FFFF00000000}"/>
  </bookViews>
  <sheets>
    <sheet name="Forecast fall 24" sheetId="1" r:id="rId1"/>
    <sheet name="Remainder of FY 24 4.1.24" sheetId="8" state="hidden" r:id="rId2"/>
    <sheet name="FY 24" sheetId="7" state="hidden" r:id="rId3"/>
    <sheet name="FY 23" sheetId="6" state="hidden" r:id="rId4"/>
  </sheets>
  <definedNames>
    <definedName name="_xlnm.Print_Titles" localSheetId="3">'FY 23'!$A:$F,'FY 23'!$1:$1</definedName>
    <definedName name="_xlnm.Print_Titles" localSheetId="2">'FY 24'!$A:$F,'FY 24'!$1:$1</definedName>
    <definedName name="QB_COLUMN_2921" localSheetId="3" hidden="1">'FY 23'!$G$1</definedName>
    <definedName name="QB_COLUMN_2921" localSheetId="2" hidden="1">'FY 24'!$G$1</definedName>
    <definedName name="QB_COLUMN_29210" localSheetId="3" hidden="1">'FY 23'!$Y$1</definedName>
    <definedName name="QB_COLUMN_29210" localSheetId="2" hidden="1">'FY 24'!$Y$1</definedName>
    <definedName name="QB_COLUMN_29211" localSheetId="3" hidden="1">'FY 23'!$AA$1</definedName>
    <definedName name="QB_COLUMN_29211" localSheetId="2" hidden="1">'FY 24'!$AA$1</definedName>
    <definedName name="QB_COLUMN_29212" localSheetId="3" hidden="1">'FY 23'!$AC$1</definedName>
    <definedName name="QB_COLUMN_29212" localSheetId="2" hidden="1">'FY 24'!$AC$1</definedName>
    <definedName name="QB_COLUMN_2922" localSheetId="3" hidden="1">'FY 23'!$I$1</definedName>
    <definedName name="QB_COLUMN_2922" localSheetId="2" hidden="1">'FY 24'!$I$1</definedName>
    <definedName name="QB_COLUMN_2923" localSheetId="3" hidden="1">'FY 23'!$K$1</definedName>
    <definedName name="QB_COLUMN_2923" localSheetId="2" hidden="1">'FY 24'!$K$1</definedName>
    <definedName name="QB_COLUMN_2924" localSheetId="3" hidden="1">'FY 23'!$M$1</definedName>
    <definedName name="QB_COLUMN_2924" localSheetId="2" hidden="1">'FY 24'!$M$1</definedName>
    <definedName name="QB_COLUMN_2925" localSheetId="3" hidden="1">'FY 23'!$O$1</definedName>
    <definedName name="QB_COLUMN_2925" localSheetId="2" hidden="1">'FY 24'!$O$1</definedName>
    <definedName name="QB_COLUMN_2926" localSheetId="3" hidden="1">'FY 23'!$Q$1</definedName>
    <definedName name="QB_COLUMN_2926" localSheetId="2" hidden="1">'FY 24'!$Q$1</definedName>
    <definedName name="QB_COLUMN_2927" localSheetId="3" hidden="1">'FY 23'!$S$1</definedName>
    <definedName name="QB_COLUMN_2927" localSheetId="2" hidden="1">'FY 24'!$S$1</definedName>
    <definedName name="QB_COLUMN_2928" localSheetId="3" hidden="1">'FY 23'!$U$1</definedName>
    <definedName name="QB_COLUMN_2928" localSheetId="2" hidden="1">'FY 24'!$U$1</definedName>
    <definedName name="QB_COLUMN_2929" localSheetId="3" hidden="1">'FY 23'!$W$1</definedName>
    <definedName name="QB_COLUMN_2929" localSheetId="2" hidden="1">'FY 24'!$W$1</definedName>
    <definedName name="QB_COLUMN_2930" localSheetId="3" hidden="1">'FY 23'!$AE$1</definedName>
    <definedName name="QB_COLUMN_2930" localSheetId="2" hidden="1">'FY 24'!$AE$1</definedName>
    <definedName name="QB_DATA_0" localSheetId="3" hidden="1">'FY 23'!$5:$5,'FY 23'!$6:$6,'FY 23'!$8:$8,'FY 23'!$10:$10,'FY 23'!$11:$11,'FY 23'!$12:$12,'FY 23'!$15:$15,'FY 23'!$16:$16,'FY 23'!$17:$17,'FY 23'!$18:$18,'FY 23'!$19:$19,'FY 23'!$22:$22,'FY 23'!$24:$24,'FY 23'!$29:$29,'FY 23'!$30:$30,'FY 23'!$31:$31</definedName>
    <definedName name="QB_DATA_0" localSheetId="2" hidden="1">'FY 24'!$5:$5,'FY 24'!$6:$6,'FY 24'!$9:$9,'FY 24'!$10:$10,'FY 24'!$13:$13,'FY 24'!$14:$14,'FY 24'!$15:$15,'FY 24'!$16:$16,'FY 24'!$17:$17,'FY 24'!$20:$20,'FY 24'!$22:$22,'FY 24'!$27:$27,'FY 24'!$28:$28,'FY 24'!$29:$29,'FY 24'!$30:$30,'FY 24'!$31:$31</definedName>
    <definedName name="QB_DATA_1" localSheetId="3" hidden="1">'FY 23'!$32:$32,'FY 23'!$33:$33,'FY 23'!$34:$34,'FY 23'!$35:$35,'FY 23'!$36:$36,'FY 23'!$37:$37,'FY 23'!$38:$38,'FY 23'!$41:$41,'FY 23'!$42:$42,'FY 23'!$43:$43,'FY 23'!$44:$44,'FY 23'!$45:$45,'FY 23'!$46:$46,'FY 23'!$49:$49,'FY 23'!$50:$50,'FY 23'!$51:$51</definedName>
    <definedName name="QB_DATA_1" localSheetId="2" hidden="1">'FY 24'!$32:$32,'FY 24'!$35:$35,'FY 24'!$36:$36,'FY 24'!$37:$37,'FY 24'!$38:$38,'FY 24'!$39:$39,'FY 24'!$40:$40,'FY 24'!$43:$43,'FY 24'!$44:$44,'FY 24'!$45:$45,'FY 24'!$46:$46,'FY 24'!$47:$47,'FY 24'!$48:$48,'FY 24'!$49:$49,'FY 24'!$50:$50,'FY 24'!$51:$51</definedName>
    <definedName name="QB_DATA_2" localSheetId="3" hidden="1">'FY 23'!$52:$52,'FY 23'!$53:$53,'FY 23'!$54:$54,'FY 23'!$55:$55,'FY 23'!$56:$56,'FY 23'!$57:$57,'FY 23'!$58:$58,'FY 23'!$59:$59,'FY 23'!$60:$60,'FY 23'!$61:$61,'FY 23'!$62:$62,'FY 23'!$63:$63,'FY 23'!$64:$64,'FY 23'!$65:$65,'FY 23'!$66:$66,'FY 23'!$67:$67</definedName>
    <definedName name="QB_DATA_2" localSheetId="2" hidden="1">'FY 24'!$52:$52,'FY 24'!$53:$53,'FY 24'!$54:$54,'FY 24'!$55:$55,'FY 24'!$56:$56,'FY 24'!$57:$57,'FY 24'!$58:$58,'FY 24'!$59:$59,'FY 24'!$60:$60,'FY 24'!$61:$61,'FY 24'!$62:$62,'FY 24'!$63:$63,'FY 24'!$64:$64,'FY 24'!$65:$65,'FY 24'!$66:$66,'FY 24'!$67:$67</definedName>
    <definedName name="QB_DATA_3" localSheetId="3" hidden="1">'FY 23'!$68:$68,'FY 23'!$69:$69,'FY 23'!$70:$70,'FY 23'!$71:$71,'FY 23'!$72:$72,'FY 23'!$73:$73,'FY 23'!$74:$74,'FY 23'!$75:$75,'FY 23'!$76:$76,'FY 23'!$77:$77,'FY 23'!$78:$78,'FY 23'!$79:$79,'FY 23'!$80:$80,'FY 23'!$81:$81,'FY 23'!$82:$82,'FY 23'!$83:$83</definedName>
    <definedName name="QB_DATA_3" localSheetId="2" hidden="1">'FY 24'!$68:$68,'FY 24'!$69:$69,'FY 24'!$70:$70,'FY 24'!$71:$71,'FY 24'!$74:$74,'FY 24'!$75:$75,'FY 24'!$76:$76,'FY 24'!$77:$77,'FY 24'!$78:$78,'FY 24'!$79:$79,'FY 24'!$80:$80,'FY 24'!$81:$81,'FY 24'!$84:$84,'FY 24'!$85:$85,'FY 24'!$86:$86,'FY 24'!$87:$87</definedName>
    <definedName name="QB_DATA_4" localSheetId="3" hidden="1">'FY 23'!$84:$84,'FY 23'!$87:$87,'FY 23'!$88:$88,'FY 23'!$89:$89,'FY 23'!$90:$90,'FY 23'!$91:$91,'FY 23'!$92:$92,'FY 23'!$93:$93,'FY 23'!$94:$94,'FY 23'!$95:$95,'FY 23'!$96:$96,'FY 23'!$97:$97,'FY 23'!$98:$98,'FY 23'!$99:$99,'FY 23'!$102:$102,'FY 23'!$103:$103</definedName>
    <definedName name="QB_DATA_4" localSheetId="2" hidden="1">'FY 24'!$88:$88,'FY 24'!$89:$89</definedName>
    <definedName name="QB_DATA_5" localSheetId="3" hidden="1">'FY 23'!$104:$104,'FY 23'!$105:$105,'FY 23'!$106:$106,'FY 23'!$107:$107,'FY 23'!$108:$108,'FY 23'!$109:$109,'FY 23'!$110:$110</definedName>
    <definedName name="QB_FORMULA_0" localSheetId="3" hidden="1">'FY 23'!$AE$5,'FY 23'!$AE$6,'FY 23'!$G$7,'FY 23'!$I$7,'FY 23'!$K$7,'FY 23'!$M$7,'FY 23'!$O$7,'FY 23'!$Q$7,'FY 23'!$S$7,'FY 23'!$U$7,'FY 23'!$W$7,'FY 23'!$Y$7,'FY 23'!$AA$7,'FY 23'!$AC$7,'FY 23'!$AE$7,'FY 23'!$AE$8</definedName>
    <definedName name="QB_FORMULA_0" localSheetId="2" hidden="1">'FY 24'!$AE$5,'FY 24'!$AE$6,'FY 24'!$G$7,'FY 24'!$I$7,'FY 24'!$K$7,'FY 24'!$M$7,'FY 24'!$O$7,'FY 24'!$Q$7,'FY 24'!$S$7,'FY 24'!$U$7,'FY 24'!$W$7,'FY 24'!$Y$7,'FY 24'!$AA$7,'FY 24'!$AC$7,'FY 24'!$AE$7,'FY 24'!$AE$9</definedName>
    <definedName name="QB_FORMULA_1" localSheetId="3" hidden="1">'FY 23'!$AE$10,'FY 23'!$AE$11,'FY 23'!$AE$12,'FY 23'!$G$13,'FY 23'!$I$13,'FY 23'!$K$13,'FY 23'!$M$13,'FY 23'!$O$13,'FY 23'!$Q$13,'FY 23'!$S$13,'FY 23'!$U$13,'FY 23'!$W$13,'FY 23'!$Y$13,'FY 23'!$AA$13,'FY 23'!$AC$13,'FY 23'!$AE$13</definedName>
    <definedName name="QB_FORMULA_1" localSheetId="2" hidden="1">'FY 24'!$AE$10,'FY 24'!$G$11,'FY 24'!$I$11,'FY 24'!$K$11,'FY 24'!$M$11,'FY 24'!$O$11,'FY 24'!$Q$11,'FY 24'!$S$11,'FY 24'!$U$11,'FY 24'!$W$11,'FY 24'!$Y$11,'FY 24'!$AA$11,'FY 24'!$AC$11,'FY 24'!$AE$11,'FY 24'!$AE$13,'FY 24'!$AE$14</definedName>
    <definedName name="QB_FORMULA_10" localSheetId="3" hidden="1">'FY 23'!$AE$76,'FY 23'!$AE$77,'FY 23'!$AE$78,'FY 23'!$AE$79,'FY 23'!$AE$80,'FY 23'!$AE$81,'FY 23'!$AE$82,'FY 23'!$AE$83,'FY 23'!$AE$84,'FY 23'!$G$85,'FY 23'!$I$85,'FY 23'!$K$85,'FY 23'!$M$85,'FY 23'!$O$85,'FY 23'!$Q$85,'FY 23'!$S$85</definedName>
    <definedName name="QB_FORMULA_10" localSheetId="2" hidden="1">'FY 24'!$O$72,'FY 24'!$Q$72,'FY 24'!$S$72,'FY 24'!$U$72,'FY 24'!$W$72,'FY 24'!$Y$72,'FY 24'!$AA$72,'FY 24'!$AC$72,'FY 24'!$AE$72,'FY 24'!$AE$74,'FY 24'!$AE$75,'FY 24'!$AE$76,'FY 24'!$AE$77,'FY 24'!$AE$78,'FY 24'!$AE$79,'FY 24'!$AE$80</definedName>
    <definedName name="QB_FORMULA_11" localSheetId="3" hidden="1">'FY 23'!$U$85,'FY 23'!$W$85,'FY 23'!$Y$85,'FY 23'!$AA$85,'FY 23'!$AC$85,'FY 23'!$AE$85,'FY 23'!$AE$87,'FY 23'!$AE$88,'FY 23'!$AE$89,'FY 23'!$AE$90,'FY 23'!$AE$91,'FY 23'!$AE$92,'FY 23'!$AE$93,'FY 23'!$AE$94,'FY 23'!$AE$95,'FY 23'!$AE$96</definedName>
    <definedName name="QB_FORMULA_11" localSheetId="2" hidden="1">'FY 24'!$AE$81,'FY 24'!$G$82,'FY 24'!$I$82,'FY 24'!$K$82,'FY 24'!$M$82,'FY 24'!$O$82,'FY 24'!$Q$82,'FY 24'!$S$82,'FY 24'!$U$82,'FY 24'!$W$82,'FY 24'!$Y$82,'FY 24'!$AA$82,'FY 24'!$AC$82,'FY 24'!$AE$82,'FY 24'!$AE$84,'FY 24'!$AE$85</definedName>
    <definedName name="QB_FORMULA_12" localSheetId="3" hidden="1">'FY 23'!$AE$97,'FY 23'!$AE$98,'FY 23'!$AE$99,'FY 23'!$G$100,'FY 23'!$I$100,'FY 23'!$K$100,'FY 23'!$M$100,'FY 23'!$O$100,'FY 23'!$Q$100,'FY 23'!$S$100,'FY 23'!$U$100,'FY 23'!$W$100,'FY 23'!$Y$100,'FY 23'!$AA$100,'FY 23'!$AC$100,'FY 23'!$AE$100</definedName>
    <definedName name="QB_FORMULA_12" localSheetId="2" hidden="1">'FY 24'!$AE$86,'FY 24'!$AE$87,'FY 24'!$AE$88,'FY 24'!$AE$89,'FY 24'!$G$90,'FY 24'!$I$90,'FY 24'!$K$90,'FY 24'!$M$90,'FY 24'!$O$90,'FY 24'!$Q$90,'FY 24'!$S$90,'FY 24'!$U$90,'FY 24'!$W$90,'FY 24'!$Y$90,'FY 24'!$AA$90,'FY 24'!$AC$90</definedName>
    <definedName name="QB_FORMULA_13" localSheetId="3" hidden="1">'FY 23'!$AE$102,'FY 23'!$AE$103,'FY 23'!$AE$104,'FY 23'!$AE$105,'FY 23'!$AE$106,'FY 23'!$AE$107,'FY 23'!$AE$108,'FY 23'!$AE$109,'FY 23'!$AE$110,'FY 23'!$G$111,'FY 23'!$I$111,'FY 23'!$K$111,'FY 23'!$M$111,'FY 23'!$O$111,'FY 23'!$Q$111,'FY 23'!$S$111</definedName>
    <definedName name="QB_FORMULA_13" localSheetId="2" hidden="1">'FY 24'!$AE$90,'FY 24'!$G$91,'FY 24'!$I$91,'FY 24'!$K$91,'FY 24'!$M$91,'FY 24'!$O$91,'FY 24'!$Q$91,'FY 24'!$S$91,'FY 24'!$U$91,'FY 24'!$W$91,'FY 24'!$Y$91,'FY 24'!$AA$91,'FY 24'!$AC$91,'FY 24'!$AE$91,'FY 24'!$G$92,'FY 24'!$I$92</definedName>
    <definedName name="QB_FORMULA_14" localSheetId="3" hidden="1">'FY 23'!$U$111,'FY 23'!$W$111,'FY 23'!$Y$111,'FY 23'!$AA$111,'FY 23'!$AC$111,'FY 23'!$AE$111,'FY 23'!$G$112,'FY 23'!$I$112,'FY 23'!$K$112,'FY 23'!$M$112,'FY 23'!$O$112,'FY 23'!$Q$112,'FY 23'!$S$112,'FY 23'!$U$112,'FY 23'!$W$112,'FY 23'!$Y$112</definedName>
    <definedName name="QB_FORMULA_14" localSheetId="2" hidden="1">'FY 24'!$K$92,'FY 24'!$M$92,'FY 24'!$O$92,'FY 24'!$Q$92,'FY 24'!$S$92,'FY 24'!$U$92,'FY 24'!$W$92,'FY 24'!$Y$92,'FY 24'!$AA$92,'FY 24'!$AC$92,'FY 24'!$AE$92,'FY 24'!$G$93,'FY 24'!$I$93,'FY 24'!$K$93,'FY 24'!$M$93,'FY 24'!$O$93</definedName>
    <definedName name="QB_FORMULA_15" localSheetId="3" hidden="1">'FY 23'!$AA$112,'FY 23'!$AC$112,'FY 23'!$AE$112,'FY 23'!$G$113,'FY 23'!$I$113,'FY 23'!$K$113,'FY 23'!$M$113,'FY 23'!$O$113,'FY 23'!$Q$113,'FY 23'!$S$113,'FY 23'!$U$113,'FY 23'!$W$113,'FY 23'!$Y$113,'FY 23'!$AA$113,'FY 23'!$AC$113,'FY 23'!$AE$113</definedName>
    <definedName name="QB_FORMULA_15" localSheetId="2" hidden="1">'FY 24'!$Q$93,'FY 24'!$S$93,'FY 24'!$U$93,'FY 24'!$W$93,'FY 24'!$Y$93,'FY 24'!$AA$93,'FY 24'!$AC$93,'FY 24'!$AE$93</definedName>
    <definedName name="QB_FORMULA_16" localSheetId="3" hidden="1">'FY 23'!$G$114,'FY 23'!$I$114,'FY 23'!$K$114,'FY 23'!$M$114,'FY 23'!$O$114,'FY 23'!$Q$114,'FY 23'!$S$114,'FY 23'!$U$114,'FY 23'!$W$114,'FY 23'!$Y$114,'FY 23'!$AA$114,'FY 23'!$AC$114,'FY 23'!$AE$114</definedName>
    <definedName name="QB_FORMULA_2" localSheetId="3" hidden="1">'FY 23'!$AE$15,'FY 23'!$AE$16,'FY 23'!$AE$17,'FY 23'!$AE$18,'FY 23'!$AE$19,'FY 23'!$G$20,'FY 23'!$I$20,'FY 23'!$K$20,'FY 23'!$M$20,'FY 23'!$O$20,'FY 23'!$Q$20,'FY 23'!$S$20,'FY 23'!$U$20,'FY 23'!$W$20,'FY 23'!$Y$20,'FY 23'!$AA$20</definedName>
    <definedName name="QB_FORMULA_2" localSheetId="2" hidden="1">'FY 24'!$AE$15,'FY 24'!$AE$16,'FY 24'!$AE$17,'FY 24'!$G$18,'FY 24'!$I$18,'FY 24'!$K$18,'FY 24'!$M$18,'FY 24'!$O$18,'FY 24'!$Q$18,'FY 24'!$S$18,'FY 24'!$U$18,'FY 24'!$W$18,'FY 24'!$Y$18,'FY 24'!$AA$18,'FY 24'!$AC$18,'FY 24'!$AE$18</definedName>
    <definedName name="QB_FORMULA_3" localSheetId="3" hidden="1">'FY 23'!$AC$20,'FY 23'!$AE$20,'FY 23'!$AE$22,'FY 23'!$G$23,'FY 23'!$I$23,'FY 23'!$K$23,'FY 23'!$M$23,'FY 23'!$O$23,'FY 23'!$Q$23,'FY 23'!$S$23,'FY 23'!$U$23,'FY 23'!$W$23,'FY 23'!$Y$23,'FY 23'!$AA$23,'FY 23'!$AC$23,'FY 23'!$AE$23</definedName>
    <definedName name="QB_FORMULA_3" localSheetId="2" hidden="1">'FY 24'!$AE$20,'FY 24'!$G$21,'FY 24'!$I$21,'FY 24'!$K$21,'FY 24'!$M$21,'FY 24'!$O$21,'FY 24'!$Q$21,'FY 24'!$S$21,'FY 24'!$U$21,'FY 24'!$W$21,'FY 24'!$Y$21,'FY 24'!$AA$21,'FY 24'!$AC$21,'FY 24'!$AE$21,'FY 24'!$AE$22,'FY 24'!$G$23</definedName>
    <definedName name="QB_FORMULA_4" localSheetId="3" hidden="1">'FY 23'!$AE$24,'FY 23'!$G$25,'FY 23'!$I$25,'FY 23'!$K$25,'FY 23'!$M$25,'FY 23'!$O$25,'FY 23'!$Q$25,'FY 23'!$S$25,'FY 23'!$U$25,'FY 23'!$W$25,'FY 23'!$Y$25,'FY 23'!$AA$25,'FY 23'!$AC$25,'FY 23'!$AE$25,'FY 23'!$G$26,'FY 23'!$I$26</definedName>
    <definedName name="QB_FORMULA_4" localSheetId="2" hidden="1">'FY 24'!$I$23,'FY 24'!$K$23,'FY 24'!$M$23,'FY 24'!$O$23,'FY 24'!$Q$23,'FY 24'!$S$23,'FY 24'!$U$23,'FY 24'!$W$23,'FY 24'!$Y$23,'FY 24'!$AA$23,'FY 24'!$AC$23,'FY 24'!$AE$23,'FY 24'!$G$24,'FY 24'!$I$24,'FY 24'!$K$24,'FY 24'!$M$24</definedName>
    <definedName name="QB_FORMULA_5" localSheetId="3" hidden="1">'FY 23'!$K$26,'FY 23'!$M$26,'FY 23'!$O$26,'FY 23'!$Q$26,'FY 23'!$S$26,'FY 23'!$U$26,'FY 23'!$W$26,'FY 23'!$Y$26,'FY 23'!$AA$26,'FY 23'!$AC$26,'FY 23'!$AE$26,'FY 23'!$AE$29,'FY 23'!$AE$30,'FY 23'!$AE$31,'FY 23'!$AE$32,'FY 23'!$AE$33</definedName>
    <definedName name="QB_FORMULA_5" localSheetId="2" hidden="1">'FY 24'!$O$24,'FY 24'!$Q$24,'FY 24'!$S$24,'FY 24'!$U$24,'FY 24'!$W$24,'FY 24'!$Y$24,'FY 24'!$AA$24,'FY 24'!$AC$24,'FY 24'!$AE$24,'FY 24'!$AE$27,'FY 24'!$AE$28,'FY 24'!$AE$29,'FY 24'!$AE$30,'FY 24'!$AE$31,'FY 24'!$AE$32,'FY 24'!$G$33</definedName>
    <definedName name="QB_FORMULA_6" localSheetId="3" hidden="1">'FY 23'!$AE$34,'FY 23'!$AE$35,'FY 23'!$AE$36,'FY 23'!$AE$37,'FY 23'!$AE$38,'FY 23'!$G$39,'FY 23'!$I$39,'FY 23'!$K$39,'FY 23'!$M$39,'FY 23'!$O$39,'FY 23'!$Q$39,'FY 23'!$S$39,'FY 23'!$U$39,'FY 23'!$W$39,'FY 23'!$Y$39,'FY 23'!$AA$39</definedName>
    <definedName name="QB_FORMULA_6" localSheetId="2" hidden="1">'FY 24'!$I$33,'FY 24'!$K$33,'FY 24'!$M$33,'FY 24'!$O$33,'FY 24'!$Q$33,'FY 24'!$S$33,'FY 24'!$U$33,'FY 24'!$W$33,'FY 24'!$Y$33,'FY 24'!$AA$33,'FY 24'!$AC$33,'FY 24'!$AE$33,'FY 24'!$AE$35,'FY 24'!$AE$36,'FY 24'!$AE$37,'FY 24'!$AE$38</definedName>
    <definedName name="QB_FORMULA_7" localSheetId="3" hidden="1">'FY 23'!$AC$39,'FY 23'!$AE$39,'FY 23'!$AE$41,'FY 23'!$AE$42,'FY 23'!$AE$43,'FY 23'!$AE$44,'FY 23'!$AE$45,'FY 23'!$AE$46,'FY 23'!$G$47,'FY 23'!$I$47,'FY 23'!$K$47,'FY 23'!$M$47,'FY 23'!$O$47,'FY 23'!$Q$47,'FY 23'!$S$47,'FY 23'!$U$47</definedName>
    <definedName name="QB_FORMULA_7" localSheetId="2" hidden="1">'FY 24'!$AE$39,'FY 24'!$AE$40,'FY 24'!$G$41,'FY 24'!$I$41,'FY 24'!$K$41,'FY 24'!$M$41,'FY 24'!$O$41,'FY 24'!$Q$41,'FY 24'!$S$41,'FY 24'!$U$41,'FY 24'!$W$41,'FY 24'!$Y$41,'FY 24'!$AA$41,'FY 24'!$AC$41,'FY 24'!$AE$41,'FY 24'!$AE$43</definedName>
    <definedName name="QB_FORMULA_8" localSheetId="3" hidden="1">'FY 23'!$W$47,'FY 23'!$Y$47,'FY 23'!$AA$47,'FY 23'!$AC$47,'FY 23'!$AE$47,'FY 23'!$AE$49,'FY 23'!$AE$50,'FY 23'!$AE$51,'FY 23'!$AE$52,'FY 23'!$AE$53,'FY 23'!$AE$54,'FY 23'!$AE$55,'FY 23'!$AE$56,'FY 23'!$AE$57,'FY 23'!$AE$58,'FY 23'!$AE$59</definedName>
    <definedName name="QB_FORMULA_8" localSheetId="2" hidden="1">'FY 24'!$AE$44,'FY 24'!$AE$45,'FY 24'!$AE$46,'FY 24'!$AE$47,'FY 24'!$AE$48,'FY 24'!$AE$49,'FY 24'!$AE$50,'FY 24'!$AE$51,'FY 24'!$AE$52,'FY 24'!$AE$53,'FY 24'!$AE$54,'FY 24'!$AE$55,'FY 24'!$AE$56,'FY 24'!$AE$57,'FY 24'!$AE$58,'FY 24'!$AE$59</definedName>
    <definedName name="QB_FORMULA_9" localSheetId="3" hidden="1">'FY 23'!$AE$60,'FY 23'!$AE$61,'FY 23'!$AE$62,'FY 23'!$AE$63,'FY 23'!$AE$64,'FY 23'!$AE$65,'FY 23'!$AE$66,'FY 23'!$AE$67,'FY 23'!$AE$68,'FY 23'!$AE$69,'FY 23'!$AE$70,'FY 23'!$AE$71,'FY 23'!$AE$72,'FY 23'!$AE$73,'FY 23'!$AE$74,'FY 23'!$AE$75</definedName>
    <definedName name="QB_FORMULA_9" localSheetId="2" hidden="1">'FY 24'!$AE$60,'FY 24'!$AE$61,'FY 24'!$AE$62,'FY 24'!$AE$63,'FY 24'!$AE$64,'FY 24'!$AE$65,'FY 24'!$AE$66,'FY 24'!$AE$67,'FY 24'!$AE$68,'FY 24'!$AE$69,'FY 24'!$AE$70,'FY 24'!$AE$71,'FY 24'!$G$72,'FY 24'!$I$72,'FY 24'!$K$72,'FY 24'!$M$72</definedName>
    <definedName name="QB_ROW_101250" localSheetId="3" hidden="1">'FY 23'!$F$92</definedName>
    <definedName name="QB_ROW_101250" localSheetId="2" hidden="1">'FY 24'!$F$78</definedName>
    <definedName name="QB_ROW_110250" localSheetId="3" hidden="1">'FY 23'!$F$93</definedName>
    <definedName name="QB_ROW_112250" localSheetId="3" hidden="1">'FY 23'!$F$94</definedName>
    <definedName name="QB_ROW_113250" localSheetId="3" hidden="1">'FY 23'!$F$95</definedName>
    <definedName name="QB_ROW_113250" localSheetId="2" hidden="1">'FY 24'!$F$79</definedName>
    <definedName name="QB_ROW_114250" localSheetId="3" hidden="1">'FY 23'!$F$96</definedName>
    <definedName name="QB_ROW_114250" localSheetId="2" hidden="1">'FY 24'!$F$80</definedName>
    <definedName name="QB_ROW_115250" localSheetId="3" hidden="1">'FY 23'!$F$97</definedName>
    <definedName name="QB_ROW_117250" localSheetId="3" hidden="1">'FY 23'!$F$98</definedName>
    <definedName name="QB_ROW_132040" localSheetId="3" hidden="1">'FY 23'!$E$101</definedName>
    <definedName name="QB_ROW_132040" localSheetId="2" hidden="1">'FY 24'!$E$83</definedName>
    <definedName name="QB_ROW_132340" localSheetId="3" hidden="1">'FY 23'!$E$111</definedName>
    <definedName name="QB_ROW_132340" localSheetId="2" hidden="1">'FY 24'!$E$90</definedName>
    <definedName name="QB_ROW_134250" localSheetId="3" hidden="1">'FY 23'!$F$102</definedName>
    <definedName name="QB_ROW_135250" localSheetId="3" hidden="1">'FY 23'!$F$103</definedName>
    <definedName name="QB_ROW_135250" localSheetId="2" hidden="1">'FY 24'!$F$84</definedName>
    <definedName name="QB_ROW_137250" localSheetId="3" hidden="1">'FY 23'!$F$104</definedName>
    <definedName name="QB_ROW_137250" localSheetId="2" hidden="1">'FY 24'!$F$85</definedName>
    <definedName name="QB_ROW_138250" localSheetId="3" hidden="1">'FY 23'!$F$55</definedName>
    <definedName name="QB_ROW_138250" localSheetId="2" hidden="1">'FY 24'!$F$48</definedName>
    <definedName name="QB_ROW_140250" localSheetId="3" hidden="1">'FY 23'!$F$106</definedName>
    <definedName name="QB_ROW_140250" localSheetId="2" hidden="1">'FY 24'!$F$87</definedName>
    <definedName name="QB_ROW_141250" localSheetId="3" hidden="1">'FY 23'!$F$107</definedName>
    <definedName name="QB_ROW_141250" localSheetId="2" hidden="1">'FY 24'!$F$88</definedName>
    <definedName name="QB_ROW_143250" localSheetId="3" hidden="1">'FY 23'!$F$108</definedName>
    <definedName name="QB_ROW_143250" localSheetId="2" hidden="1">'FY 24'!$F$89</definedName>
    <definedName name="QB_ROW_146250" localSheetId="3" hidden="1">'FY 23'!$F$109</definedName>
    <definedName name="QB_ROW_147250" localSheetId="3" hidden="1">'FY 23'!$F$110</definedName>
    <definedName name="QB_ROW_153250" localSheetId="3" hidden="1">'FY 23'!$F$57</definedName>
    <definedName name="QB_ROW_153250" localSheetId="2" hidden="1">'FY 24'!$F$50</definedName>
    <definedName name="QB_ROW_154250" localSheetId="3" hidden="1">'FY 23'!$F$60</definedName>
    <definedName name="QB_ROW_154250" localSheetId="2" hidden="1">'FY 24'!$F$53</definedName>
    <definedName name="QB_ROW_155250" localSheetId="3" hidden="1">'FY 23'!$F$105</definedName>
    <definedName name="QB_ROW_155250" localSheetId="2" hidden="1">'FY 24'!$F$86</definedName>
    <definedName name="QB_ROW_156250" localSheetId="3" hidden="1">'FY 23'!$F$70</definedName>
    <definedName name="QB_ROW_156250" localSheetId="2" hidden="1">'FY 24'!$F$61</definedName>
    <definedName name="QB_ROW_164250" localSheetId="3" hidden="1">'FY 23'!$F$19</definedName>
    <definedName name="QB_ROW_164250" localSheetId="2" hidden="1">'FY 24'!$F$17</definedName>
    <definedName name="QB_ROW_168240" localSheetId="3" hidden="1">'FY 23'!$E$24</definedName>
    <definedName name="QB_ROW_168240" localSheetId="2" hidden="1">'FY 24'!$E$22</definedName>
    <definedName name="QB_ROW_169250" localSheetId="2" hidden="1">'FY 24'!$F$47</definedName>
    <definedName name="QB_ROW_18301" localSheetId="3" hidden="1">'FY 23'!$A$114</definedName>
    <definedName name="QB_ROW_18301" localSheetId="2" hidden="1">'FY 24'!$A$93</definedName>
    <definedName name="QB_ROW_183250" localSheetId="3" hidden="1">'FY 23'!$F$36</definedName>
    <definedName name="QB_ROW_183250" localSheetId="2" hidden="1">'FY 24'!$F$30</definedName>
    <definedName name="QB_ROW_184250" localSheetId="3" hidden="1">'FY 23'!$F$30</definedName>
    <definedName name="QB_ROW_184250" localSheetId="2" hidden="1">'FY 24'!$F$28</definedName>
    <definedName name="QB_ROW_185250" localSheetId="3" hidden="1">'FY 23'!$F$46</definedName>
    <definedName name="QB_ROW_185250" localSheetId="2" hidden="1">'FY 24'!$F$40</definedName>
    <definedName name="QB_ROW_186250" localSheetId="3" hidden="1">'FY 23'!$F$62</definedName>
    <definedName name="QB_ROW_186250" localSheetId="2" hidden="1">'FY 24'!$F$55</definedName>
    <definedName name="QB_ROW_188250" localSheetId="3" hidden="1">'FY 23'!$F$65</definedName>
    <definedName name="QB_ROW_189250" localSheetId="3" hidden="1">'FY 23'!$F$11</definedName>
    <definedName name="QB_ROW_19011" localSheetId="3" hidden="1">'FY 23'!$B$2</definedName>
    <definedName name="QB_ROW_19011" localSheetId="2" hidden="1">'FY 24'!$B$2</definedName>
    <definedName name="QB_ROW_19311" localSheetId="3" hidden="1">'FY 23'!$B$113</definedName>
    <definedName name="QB_ROW_19311" localSheetId="2" hidden="1">'FY 24'!$B$92</definedName>
    <definedName name="QB_ROW_193250" localSheetId="3" hidden="1">'FY 23'!$F$56</definedName>
    <definedName name="QB_ROW_193250" localSheetId="2" hidden="1">'FY 24'!$F$49</definedName>
    <definedName name="QB_ROW_194250" localSheetId="3" hidden="1">'FY 23'!$F$71</definedName>
    <definedName name="QB_ROW_194250" localSheetId="2" hidden="1">'FY 24'!$F$62</definedName>
    <definedName name="QB_ROW_195250" localSheetId="3" hidden="1">'FY 23'!$F$12</definedName>
    <definedName name="QB_ROW_195250" localSheetId="2" hidden="1">'FY 24'!$F$10</definedName>
    <definedName name="QB_ROW_196250" localSheetId="3" hidden="1">'FY 23'!$F$31</definedName>
    <definedName name="QB_ROW_20031" localSheetId="3" hidden="1">'FY 23'!$D$3</definedName>
    <definedName name="QB_ROW_20031" localSheetId="2" hidden="1">'FY 24'!$D$3</definedName>
    <definedName name="QB_ROW_20331" localSheetId="3" hidden="1">'FY 23'!$D$25</definedName>
    <definedName name="QB_ROW_20331" localSheetId="2" hidden="1">'FY 24'!$D$23</definedName>
    <definedName name="QB_ROW_207250" localSheetId="3" hidden="1">'FY 23'!$F$6</definedName>
    <definedName name="QB_ROW_207250" localSheetId="2" hidden="1">'FY 24'!$F$6</definedName>
    <definedName name="QB_ROW_208250" localSheetId="3" hidden="1">'FY 23'!$F$5</definedName>
    <definedName name="QB_ROW_208250" localSheetId="2" hidden="1">'FY 24'!$F$5</definedName>
    <definedName name="QB_ROW_21031" localSheetId="3" hidden="1">'FY 23'!$D$27</definedName>
    <definedName name="QB_ROW_21031" localSheetId="2" hidden="1">'FY 24'!$D$25</definedName>
    <definedName name="QB_ROW_213250" localSheetId="3" hidden="1">'FY 23'!$F$44</definedName>
    <definedName name="QB_ROW_213250" localSheetId="2" hidden="1">'FY 24'!$F$38</definedName>
    <definedName name="QB_ROW_21331" localSheetId="3" hidden="1">'FY 23'!$D$112</definedName>
    <definedName name="QB_ROW_21331" localSheetId="2" hidden="1">'FY 24'!$D$91</definedName>
    <definedName name="QB_ROW_214250" localSheetId="3" hidden="1">'FY 23'!$F$52</definedName>
    <definedName name="QB_ROW_214250" localSheetId="2" hidden="1">'FY 24'!$F$45</definedName>
    <definedName name="QB_ROW_217250" localSheetId="3" hidden="1">'FY 23'!$F$50</definedName>
    <definedName name="QB_ROW_217250" localSheetId="2" hidden="1">'FY 24'!$F$44</definedName>
    <definedName name="QB_ROW_219250" localSheetId="3" hidden="1">'FY 23'!$F$35</definedName>
    <definedName name="QB_ROW_219250" localSheetId="2" hidden="1">'FY 24'!$F$29</definedName>
    <definedName name="QB_ROW_220250" localSheetId="3" hidden="1">'FY 23'!$F$53</definedName>
    <definedName name="QB_ROW_22040" localSheetId="3" hidden="1">'FY 23'!$E$4</definedName>
    <definedName name="QB_ROW_22040" localSheetId="2" hidden="1">'FY 24'!$E$4</definedName>
    <definedName name="QB_ROW_221250" localSheetId="3" hidden="1">'FY 23'!$F$84</definedName>
    <definedName name="QB_ROW_222250" localSheetId="3" hidden="1">'FY 23'!$F$99</definedName>
    <definedName name="QB_ROW_222250" localSheetId="2" hidden="1">'FY 24'!$F$81</definedName>
    <definedName name="QB_ROW_22340" localSheetId="3" hidden="1">'FY 23'!$E$7</definedName>
    <definedName name="QB_ROW_22340" localSheetId="2" hidden="1">'FY 24'!$E$7</definedName>
    <definedName name="QB_ROW_226250" localSheetId="3" hidden="1">'FY 23'!$F$33</definedName>
    <definedName name="QB_ROW_227250" localSheetId="3" hidden="1">'FY 23'!$F$38</definedName>
    <definedName name="QB_ROW_227250" localSheetId="2" hidden="1">'FY 24'!$F$32</definedName>
    <definedName name="QB_ROW_232250" localSheetId="3" hidden="1">'FY 23'!$F$34</definedName>
    <definedName name="QB_ROW_234250" localSheetId="3" hidden="1">'FY 23'!$F$18</definedName>
    <definedName name="QB_ROW_234250" localSheetId="2" hidden="1">'FY 24'!$F$16</definedName>
    <definedName name="QB_ROW_235250" localSheetId="3" hidden="1">'FY 23'!$F$17</definedName>
    <definedName name="QB_ROW_235250" localSheetId="2" hidden="1">'FY 24'!$F$15</definedName>
    <definedName name="QB_ROW_236250" localSheetId="3" hidden="1">'FY 23'!$F$16</definedName>
    <definedName name="QB_ROW_236250" localSheetId="2" hidden="1">'FY 24'!$F$14</definedName>
    <definedName name="QB_ROW_237250" localSheetId="3" hidden="1">'FY 23'!$F$59</definedName>
    <definedName name="QB_ROW_237250" localSheetId="2" hidden="1">'FY 24'!$F$52</definedName>
    <definedName name="QB_ROW_238250" localSheetId="3" hidden="1">'FY 23'!$F$67</definedName>
    <definedName name="QB_ROW_238250" localSheetId="2" hidden="1">'FY 24'!$F$59</definedName>
    <definedName name="QB_ROW_26240" localSheetId="3" hidden="1">'FY 23'!$E$8</definedName>
    <definedName name="QB_ROW_27040" localSheetId="3" hidden="1">'FY 23'!$E$9</definedName>
    <definedName name="QB_ROW_27040" localSheetId="2" hidden="1">'FY 24'!$E$8</definedName>
    <definedName name="QB_ROW_27340" localSheetId="3" hidden="1">'FY 23'!$E$13</definedName>
    <definedName name="QB_ROW_27340" localSheetId="2" hidden="1">'FY 24'!$E$11</definedName>
    <definedName name="QB_ROW_28250" localSheetId="3" hidden="1">'FY 23'!$F$10</definedName>
    <definedName name="QB_ROW_28250" localSheetId="2" hidden="1">'FY 24'!$F$9</definedName>
    <definedName name="QB_ROW_29040" localSheetId="3" hidden="1">'FY 23'!$E$14</definedName>
    <definedName name="QB_ROW_29040" localSheetId="2" hidden="1">'FY 24'!$E$12</definedName>
    <definedName name="QB_ROW_29340" localSheetId="3" hidden="1">'FY 23'!$E$20</definedName>
    <definedName name="QB_ROW_29340" localSheetId="2" hidden="1">'FY 24'!$E$18</definedName>
    <definedName name="QB_ROW_30250" localSheetId="3" hidden="1">'FY 23'!$F$15</definedName>
    <definedName name="QB_ROW_30250" localSheetId="2" hidden="1">'FY 24'!$F$13</definedName>
    <definedName name="QB_ROW_34040" localSheetId="3" hidden="1">'FY 23'!$E$21</definedName>
    <definedName name="QB_ROW_34040" localSheetId="2" hidden="1">'FY 24'!$E$19</definedName>
    <definedName name="QB_ROW_34340" localSheetId="3" hidden="1">'FY 23'!$E$23</definedName>
    <definedName name="QB_ROW_34340" localSheetId="2" hidden="1">'FY 24'!$E$21</definedName>
    <definedName name="QB_ROW_35250" localSheetId="3" hidden="1">'FY 23'!$F$22</definedName>
    <definedName name="QB_ROW_35250" localSheetId="2" hidden="1">'FY 24'!$F$20</definedName>
    <definedName name="QB_ROW_36040" localSheetId="3" hidden="1">'FY 23'!$E$28</definedName>
    <definedName name="QB_ROW_36040" localSheetId="2" hidden="1">'FY 24'!$E$26</definedName>
    <definedName name="QB_ROW_36340" localSheetId="3" hidden="1">'FY 23'!$E$39</definedName>
    <definedName name="QB_ROW_36340" localSheetId="2" hidden="1">'FY 24'!$E$33</definedName>
    <definedName name="QB_ROW_37250" localSheetId="3" hidden="1">'FY 23'!$F$29</definedName>
    <definedName name="QB_ROW_37250" localSheetId="2" hidden="1">'FY 24'!$F$27</definedName>
    <definedName name="QB_ROW_38250" localSheetId="3" hidden="1">'FY 23'!$F$32</definedName>
    <definedName name="QB_ROW_39250" localSheetId="3" hidden="1">'FY 23'!$F$37</definedName>
    <definedName name="QB_ROW_39250" localSheetId="2" hidden="1">'FY 24'!$F$31</definedName>
    <definedName name="QB_ROW_42040" localSheetId="3" hidden="1">'FY 23'!$E$40</definedName>
    <definedName name="QB_ROW_42040" localSheetId="2" hidden="1">'FY 24'!$E$34</definedName>
    <definedName name="QB_ROW_42340" localSheetId="3" hidden="1">'FY 23'!$E$47</definedName>
    <definedName name="QB_ROW_42340" localSheetId="2" hidden="1">'FY 24'!$E$41</definedName>
    <definedName name="QB_ROW_43250" localSheetId="3" hidden="1">'FY 23'!$F$41</definedName>
    <definedName name="QB_ROW_43250" localSheetId="2" hidden="1">'FY 24'!$F$35</definedName>
    <definedName name="QB_ROW_45250" localSheetId="3" hidden="1">'FY 23'!$F$42</definedName>
    <definedName name="QB_ROW_45250" localSheetId="2" hidden="1">'FY 24'!$F$36</definedName>
    <definedName name="QB_ROW_46250" localSheetId="3" hidden="1">'FY 23'!$F$43</definedName>
    <definedName name="QB_ROW_46250" localSheetId="2" hidden="1">'FY 24'!$F$37</definedName>
    <definedName name="QB_ROW_47250" localSheetId="3" hidden="1">'FY 23'!$F$45</definedName>
    <definedName name="QB_ROW_47250" localSheetId="2" hidden="1">'FY 24'!$F$39</definedName>
    <definedName name="QB_ROW_48040" localSheetId="3" hidden="1">'FY 23'!$E$48</definedName>
    <definedName name="QB_ROW_48040" localSheetId="2" hidden="1">'FY 24'!$E$42</definedName>
    <definedName name="QB_ROW_48340" localSheetId="3" hidden="1">'FY 23'!$E$85</definedName>
    <definedName name="QB_ROW_48340" localSheetId="2" hidden="1">'FY 24'!$E$72</definedName>
    <definedName name="QB_ROW_49250" localSheetId="3" hidden="1">'FY 23'!$F$49</definedName>
    <definedName name="QB_ROW_49250" localSheetId="2" hidden="1">'FY 24'!$F$43</definedName>
    <definedName name="QB_ROW_51250" localSheetId="3" hidden="1">'FY 23'!$F$51</definedName>
    <definedName name="QB_ROW_52250" localSheetId="3" hidden="1">'FY 23'!$F$54</definedName>
    <definedName name="QB_ROW_52250" localSheetId="2" hidden="1">'FY 24'!$F$46</definedName>
    <definedName name="QB_ROW_53250" localSheetId="3" hidden="1">'FY 23'!$F$58</definedName>
    <definedName name="QB_ROW_53250" localSheetId="2" hidden="1">'FY 24'!$F$51</definedName>
    <definedName name="QB_ROW_55250" localSheetId="3" hidden="1">'FY 23'!$F$61</definedName>
    <definedName name="QB_ROW_55250" localSheetId="2" hidden="1">'FY 24'!$F$54</definedName>
    <definedName name="QB_ROW_56250" localSheetId="3" hidden="1">'FY 23'!$F$63</definedName>
    <definedName name="QB_ROW_56250" localSheetId="2" hidden="1">'FY 24'!$F$56</definedName>
    <definedName name="QB_ROW_57250" localSheetId="3" hidden="1">'FY 23'!$F$64</definedName>
    <definedName name="QB_ROW_57250" localSheetId="2" hidden="1">'FY 24'!$F$57</definedName>
    <definedName name="QB_ROW_62250" localSheetId="3" hidden="1">'FY 23'!$F$66</definedName>
    <definedName name="QB_ROW_62250" localSheetId="2" hidden="1">'FY 24'!$F$58</definedName>
    <definedName name="QB_ROW_63250" localSheetId="3" hidden="1">'FY 23'!$F$68</definedName>
    <definedName name="QB_ROW_63250" localSheetId="2" hidden="1">'FY 24'!$F$60</definedName>
    <definedName name="QB_ROW_64250" localSheetId="3" hidden="1">'FY 23'!$F$69</definedName>
    <definedName name="QB_ROW_65250" localSheetId="3" hidden="1">'FY 23'!$F$72</definedName>
    <definedName name="QB_ROW_65250" localSheetId="2" hidden="1">'FY 24'!$F$63</definedName>
    <definedName name="QB_ROW_66250" localSheetId="3" hidden="1">'FY 23'!$F$73</definedName>
    <definedName name="QB_ROW_66250" localSheetId="2" hidden="1">'FY 24'!$F$64</definedName>
    <definedName name="QB_ROW_67250" localSheetId="3" hidden="1">'FY 23'!$F$74</definedName>
    <definedName name="QB_ROW_68250" localSheetId="3" hidden="1">'FY 23'!$F$75</definedName>
    <definedName name="QB_ROW_69250" localSheetId="3" hidden="1">'FY 23'!$F$76</definedName>
    <definedName name="QB_ROW_69250" localSheetId="2" hidden="1">'FY 24'!$F$65</definedName>
    <definedName name="QB_ROW_70250" localSheetId="3" hidden="1">'FY 23'!$F$77</definedName>
    <definedName name="QB_ROW_70250" localSheetId="2" hidden="1">'FY 24'!$F$66</definedName>
    <definedName name="QB_ROW_71250" localSheetId="3" hidden="1">'FY 23'!$F$78</definedName>
    <definedName name="QB_ROW_71250" localSheetId="2" hidden="1">'FY 24'!$F$67</definedName>
    <definedName name="QB_ROW_72250" localSheetId="3" hidden="1">'FY 23'!$F$79</definedName>
    <definedName name="QB_ROW_72250" localSheetId="2" hidden="1">'FY 24'!$F$68</definedName>
    <definedName name="QB_ROW_73250" localSheetId="3" hidden="1">'FY 23'!$F$80</definedName>
    <definedName name="QB_ROW_73250" localSheetId="2" hidden="1">'FY 24'!$F$69</definedName>
    <definedName name="QB_ROW_75250" localSheetId="3" hidden="1">'FY 23'!$F$81</definedName>
    <definedName name="QB_ROW_75250" localSheetId="2" hidden="1">'FY 24'!$F$70</definedName>
    <definedName name="QB_ROW_76250" localSheetId="3" hidden="1">'FY 23'!$F$82</definedName>
    <definedName name="QB_ROW_76250" localSheetId="2" hidden="1">'FY 24'!$F$71</definedName>
    <definedName name="QB_ROW_78250" localSheetId="3" hidden="1">'FY 23'!$F$83</definedName>
    <definedName name="QB_ROW_81040" localSheetId="3" hidden="1">'FY 23'!$E$86</definedName>
    <definedName name="QB_ROW_81040" localSheetId="2" hidden="1">'FY 24'!$E$73</definedName>
    <definedName name="QB_ROW_81340" localSheetId="3" hidden="1">'FY 23'!$E$100</definedName>
    <definedName name="QB_ROW_81340" localSheetId="2" hidden="1">'FY 24'!$E$82</definedName>
    <definedName name="QB_ROW_82250" localSheetId="3" hidden="1">'FY 23'!$F$87</definedName>
    <definedName name="QB_ROW_82250" localSheetId="2" hidden="1">'FY 24'!$F$74</definedName>
    <definedName name="QB_ROW_84250" localSheetId="3" hidden="1">'FY 23'!$F$88</definedName>
    <definedName name="QB_ROW_84250" localSheetId="2" hidden="1">'FY 24'!$F$75</definedName>
    <definedName name="QB_ROW_86250" localSheetId="3" hidden="1">'FY 23'!$F$89</definedName>
    <definedName name="QB_ROW_86250" localSheetId="2" hidden="1">'FY 24'!$F$76</definedName>
    <definedName name="QB_ROW_86321" localSheetId="3" hidden="1">'FY 23'!$C$26</definedName>
    <definedName name="QB_ROW_86321" localSheetId="2" hidden="1">'FY 24'!$C$24</definedName>
    <definedName name="QB_ROW_87250" localSheetId="3" hidden="1">'FY 23'!$F$90</definedName>
    <definedName name="QB_ROW_88250" localSheetId="3" hidden="1">'FY 23'!$F$91</definedName>
    <definedName name="QB_ROW_88250" localSheetId="2" hidden="1">'FY 24'!$F$77</definedName>
    <definedName name="QBCANSUPPORTUPDATE" localSheetId="3">TRUE</definedName>
    <definedName name="QBCANSUPPORTUPDATE" localSheetId="2">TRUE</definedName>
    <definedName name="QBCOMPANYFILENAME" localSheetId="3">"\\Holtbizserver\d\Holt Biz Consulting Desktop Files\Quickbook Files\Lake Erie International High School.QBW"</definedName>
    <definedName name="QBCOMPANYFILENAME" localSheetId="2">"\\Holtbizserver\d\Holt Biz Consulting Desktop Files\Quickbook Files\Lake Erie International High School.QBW"</definedName>
    <definedName name="QBENDDATE" localSheetId="3">20230630</definedName>
    <definedName name="QBENDDATE" localSheetId="2">20240630</definedName>
    <definedName name="QBHEADERSONSCREEN" localSheetId="3">FALSE</definedName>
    <definedName name="QBHEADERSONSCREEN" localSheetId="2">FALSE</definedName>
    <definedName name="QBMETADATASIZE" localSheetId="3">5924</definedName>
    <definedName name="QBMETADATASIZE" localSheetId="2">5924</definedName>
    <definedName name="QBPRESERVECOLOR" localSheetId="3">TRUE</definedName>
    <definedName name="QBPRESERVECOLOR" localSheetId="2">TRUE</definedName>
    <definedName name="QBPRESERVEFONT" localSheetId="3">TRUE</definedName>
    <definedName name="QBPRESERVEFONT" localSheetId="2">TRUE</definedName>
    <definedName name="QBPRESERVEROWHEIGHT" localSheetId="3">TRUE</definedName>
    <definedName name="QBPRESERVEROWHEIGHT" localSheetId="2">TRUE</definedName>
    <definedName name="QBPRESERVESPACE" localSheetId="3">TRUE</definedName>
    <definedName name="QBPRESERVESPACE" localSheetId="2">TRUE</definedName>
    <definedName name="QBREPORTCOLAXIS" localSheetId="3">6</definedName>
    <definedName name="QBREPORTCOLAXIS" localSheetId="2">6</definedName>
    <definedName name="QBREPORTCOMPANYID" localSheetId="3">"44576fe758ee451c9dade0a61fe8baa3"</definedName>
    <definedName name="QBREPORTCOMPANYID" localSheetId="2">"44576fe758ee451c9dade0a61fe8baa3"</definedName>
    <definedName name="QBREPORTCOMPARECOL_ANNUALBUDGET" localSheetId="3">FALSE</definedName>
    <definedName name="QBREPORTCOMPARECOL_ANNUALBUDGET" localSheetId="2">FALSE</definedName>
    <definedName name="QBREPORTCOMPARECOL_AVGCOGS" localSheetId="3">FALSE</definedName>
    <definedName name="QBREPORTCOMPARECOL_AVGCOGS" localSheetId="2">FALSE</definedName>
    <definedName name="QBREPORTCOMPARECOL_AVGPRICE" localSheetId="3">FALSE</definedName>
    <definedName name="QBREPORTCOMPARECOL_AVGPRICE" localSheetId="2">FALSE</definedName>
    <definedName name="QBREPORTCOMPARECOL_BUDDIFF" localSheetId="3">FALSE</definedName>
    <definedName name="QBREPORTCOMPARECOL_BUDDIFF" localSheetId="2">FALSE</definedName>
    <definedName name="QBREPORTCOMPARECOL_BUDGET" localSheetId="3">FALSE</definedName>
    <definedName name="QBREPORTCOMPARECOL_BUDGET" localSheetId="2">FALSE</definedName>
    <definedName name="QBREPORTCOMPARECOL_BUDPCT" localSheetId="3">FALSE</definedName>
    <definedName name="QBREPORTCOMPARECOL_BUDPCT" localSheetId="2">FALSE</definedName>
    <definedName name="QBREPORTCOMPARECOL_COGS" localSheetId="3">FALSE</definedName>
    <definedName name="QBREPORTCOMPARECOL_COGS" localSheetId="2">FALSE</definedName>
    <definedName name="QBREPORTCOMPARECOL_EXCLUDEAMOUNT" localSheetId="3">FALSE</definedName>
    <definedName name="QBREPORTCOMPARECOL_EXCLUDEAMOUNT" localSheetId="2">FALSE</definedName>
    <definedName name="QBREPORTCOMPARECOL_EXCLUDECURPERIOD" localSheetId="3">FALSE</definedName>
    <definedName name="QBREPORTCOMPARECOL_EXCLUDECURPERIOD" localSheetId="2">FALSE</definedName>
    <definedName name="QBREPORTCOMPARECOL_FORECAST" localSheetId="3">FALSE</definedName>
    <definedName name="QBREPORTCOMPARECOL_FORECAST" localSheetId="2">FALSE</definedName>
    <definedName name="QBREPORTCOMPARECOL_GROSSMARGIN" localSheetId="3">FALSE</definedName>
    <definedName name="QBREPORTCOMPARECOL_GROSSMARGIN" localSheetId="2">FALSE</definedName>
    <definedName name="QBREPORTCOMPARECOL_GROSSMARGINPCT" localSheetId="3">FALSE</definedName>
    <definedName name="QBREPORTCOMPARECOL_GROSSMARGINPCT" localSheetId="2">FALSE</definedName>
    <definedName name="QBREPORTCOMPARECOL_HOURS" localSheetId="3">FALSE</definedName>
    <definedName name="QBREPORTCOMPARECOL_HOURS" localSheetId="2">FALSE</definedName>
    <definedName name="QBREPORTCOMPARECOL_PCTCOL" localSheetId="3">FALSE</definedName>
    <definedName name="QBREPORTCOMPARECOL_PCTCOL" localSheetId="2">FALSE</definedName>
    <definedName name="QBREPORTCOMPARECOL_PCTEXPENSE" localSheetId="3">FALSE</definedName>
    <definedName name="QBREPORTCOMPARECOL_PCTEXPENSE" localSheetId="2">FALSE</definedName>
    <definedName name="QBREPORTCOMPARECOL_PCTINCOME" localSheetId="3">FALSE</definedName>
    <definedName name="QBREPORTCOMPARECOL_PCTINCOME" localSheetId="2">FALSE</definedName>
    <definedName name="QBREPORTCOMPARECOL_PCTOFSALES" localSheetId="3">FALSE</definedName>
    <definedName name="QBREPORTCOMPARECOL_PCTOFSALES" localSheetId="2">FALSE</definedName>
    <definedName name="QBREPORTCOMPARECOL_PCTROW" localSheetId="3">FALSE</definedName>
    <definedName name="QBREPORTCOMPARECOL_PCTROW" localSheetId="2">FALSE</definedName>
    <definedName name="QBREPORTCOMPARECOL_PPDIFF" localSheetId="3">FALSE</definedName>
    <definedName name="QBREPORTCOMPARECOL_PPDIFF" localSheetId="2">FALSE</definedName>
    <definedName name="QBREPORTCOMPARECOL_PPPCT" localSheetId="3">FALSE</definedName>
    <definedName name="QBREPORTCOMPARECOL_PPPCT" localSheetId="2">FALSE</definedName>
    <definedName name="QBREPORTCOMPARECOL_PREVPERIOD" localSheetId="3">FALSE</definedName>
    <definedName name="QBREPORTCOMPARECOL_PREVPERIOD" localSheetId="2">FALSE</definedName>
    <definedName name="QBREPORTCOMPARECOL_PREVYEAR" localSheetId="3">FALSE</definedName>
    <definedName name="QBREPORTCOMPARECOL_PREVYEAR" localSheetId="2">FALSE</definedName>
    <definedName name="QBREPORTCOMPARECOL_PYDIFF" localSheetId="3">FALSE</definedName>
    <definedName name="QBREPORTCOMPARECOL_PYDIFF" localSheetId="2">FALSE</definedName>
    <definedName name="QBREPORTCOMPARECOL_PYPCT" localSheetId="3">FALSE</definedName>
    <definedName name="QBREPORTCOMPARECOL_PYPCT" localSheetId="2">FALSE</definedName>
    <definedName name="QBREPORTCOMPARECOL_QTY" localSheetId="3">FALSE</definedName>
    <definedName name="QBREPORTCOMPARECOL_QTY" localSheetId="2">FALSE</definedName>
    <definedName name="QBREPORTCOMPARECOL_RATE" localSheetId="3">FALSE</definedName>
    <definedName name="QBREPORTCOMPARECOL_RATE" localSheetId="2">FALSE</definedName>
    <definedName name="QBREPORTCOMPARECOL_TRIPBILLEDMILES" localSheetId="3">FALSE</definedName>
    <definedName name="QBREPORTCOMPARECOL_TRIPBILLEDMILES" localSheetId="2">FALSE</definedName>
    <definedName name="QBREPORTCOMPARECOL_TRIPBILLINGAMOUNT" localSheetId="3">FALSE</definedName>
    <definedName name="QBREPORTCOMPARECOL_TRIPBILLINGAMOUNT" localSheetId="2">FALSE</definedName>
    <definedName name="QBREPORTCOMPARECOL_TRIPMILES" localSheetId="3">FALSE</definedName>
    <definedName name="QBREPORTCOMPARECOL_TRIPMILES" localSheetId="2">FALSE</definedName>
    <definedName name="QBREPORTCOMPARECOL_TRIPNOTBILLABLEMILES" localSheetId="3">FALSE</definedName>
    <definedName name="QBREPORTCOMPARECOL_TRIPNOTBILLABLEMILES" localSheetId="2">FALSE</definedName>
    <definedName name="QBREPORTCOMPARECOL_TRIPTAXDEDUCTIBLEAMOUNT" localSheetId="3">FALSE</definedName>
    <definedName name="QBREPORTCOMPARECOL_TRIPTAXDEDUCTIBLEAMOUNT" localSheetId="2">FALSE</definedName>
    <definedName name="QBREPORTCOMPARECOL_TRIPUNBILLEDMILES" localSheetId="3">FALSE</definedName>
    <definedName name="QBREPORTCOMPARECOL_TRIPUNBILLEDMILES" localSheetId="2">FALSE</definedName>
    <definedName name="QBREPORTCOMPARECOL_YTD" localSheetId="3">FALSE</definedName>
    <definedName name="QBREPORTCOMPARECOL_YTD" localSheetId="2">FALSE</definedName>
    <definedName name="QBREPORTCOMPARECOL_YTDBUDGET" localSheetId="3">FALSE</definedName>
    <definedName name="QBREPORTCOMPARECOL_YTDBUDGET" localSheetId="2">FALSE</definedName>
    <definedName name="QBREPORTCOMPARECOL_YTDPCT" localSheetId="3">FALSE</definedName>
    <definedName name="QBREPORTCOMPARECOL_YTDPCT" localSheetId="2">FALSE</definedName>
    <definedName name="QBREPORTROWAXIS" localSheetId="3">11</definedName>
    <definedName name="QBREPORTROWAXIS" localSheetId="2">11</definedName>
    <definedName name="QBREPORTSUBCOLAXIS" localSheetId="3">0</definedName>
    <definedName name="QBREPORTSUBCOLAXIS" localSheetId="2">0</definedName>
    <definedName name="QBREPORTTYPE" localSheetId="3">0</definedName>
    <definedName name="QBREPORTTYPE" localSheetId="2">0</definedName>
    <definedName name="QBROWHEADERS" localSheetId="3">6</definedName>
    <definedName name="QBROWHEADERS" localSheetId="2">6</definedName>
    <definedName name="QBSTARTDATE" localSheetId="3">20220701</definedName>
    <definedName name="QBSTARTDATE" localSheetId="2">20230701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9" i="1" l="1"/>
  <c r="E109" i="1"/>
  <c r="F38" i="1"/>
  <c r="G38" i="1"/>
  <c r="H38" i="1"/>
  <c r="I38" i="1"/>
  <c r="E38" i="1"/>
  <c r="F27" i="1" l="1"/>
  <c r="G27" i="1"/>
  <c r="H27" i="1"/>
  <c r="I27" i="1"/>
  <c r="E27" i="1"/>
  <c r="I34" i="1"/>
  <c r="H34" i="1"/>
  <c r="G34" i="1"/>
  <c r="F34" i="1"/>
  <c r="I35" i="1"/>
  <c r="H35" i="1"/>
  <c r="G35" i="1"/>
  <c r="F35" i="1"/>
  <c r="E21" i="1"/>
  <c r="E20" i="1"/>
  <c r="E34" i="1"/>
  <c r="E16" i="1" l="1"/>
  <c r="E35" i="1"/>
  <c r="E13" i="1"/>
  <c r="J83" i="1"/>
  <c r="I79" i="1"/>
  <c r="H79" i="1"/>
  <c r="G79" i="1"/>
  <c r="F79" i="1"/>
  <c r="E79" i="1"/>
  <c r="I78" i="1"/>
  <c r="H78" i="1"/>
  <c r="G78" i="1"/>
  <c r="F78" i="1"/>
  <c r="E78" i="1"/>
  <c r="F74" i="1" l="1"/>
  <c r="G74" i="1"/>
  <c r="H74" i="1"/>
  <c r="I74" i="1"/>
  <c r="E74" i="1"/>
  <c r="D22" i="1" l="1"/>
  <c r="D85" i="1"/>
  <c r="D92" i="1" s="1"/>
  <c r="D80" i="1"/>
  <c r="D16" i="1" l="1"/>
  <c r="D44" i="1" l="1"/>
  <c r="D17" i="1"/>
  <c r="F13" i="1"/>
  <c r="G13" i="1" s="1"/>
  <c r="H13" i="1" s="1"/>
  <c r="I13" i="1" s="1"/>
  <c r="E44" i="1"/>
  <c r="E85" i="1"/>
  <c r="AG84" i="8"/>
  <c r="AG83" i="8"/>
  <c r="AG82" i="8"/>
  <c r="E84" i="1"/>
  <c r="E82" i="1"/>
  <c r="E81" i="1"/>
  <c r="E80" i="1"/>
  <c r="F68" i="1"/>
  <c r="G68" i="1" s="1"/>
  <c r="H68" i="1" s="1"/>
  <c r="I68" i="1" s="1"/>
  <c r="E23" i="1" l="1"/>
  <c r="AC23" i="8"/>
  <c r="F21" i="1"/>
  <c r="F20" i="1"/>
  <c r="AC111" i="8"/>
  <c r="AA111" i="8"/>
  <c r="Y111" i="8"/>
  <c r="W111" i="8"/>
  <c r="U111" i="8"/>
  <c r="S111" i="8"/>
  <c r="Q111" i="8"/>
  <c r="O111" i="8"/>
  <c r="M111" i="8"/>
  <c r="K111" i="8"/>
  <c r="I111" i="8"/>
  <c r="G111" i="8"/>
  <c r="AE111" i="8" s="1"/>
  <c r="AE110" i="8"/>
  <c r="AE109" i="8"/>
  <c r="AE108" i="8"/>
  <c r="AE107" i="8"/>
  <c r="AE106" i="8"/>
  <c r="AE105" i="8"/>
  <c r="AE104" i="8"/>
  <c r="AE103" i="8"/>
  <c r="AC101" i="8"/>
  <c r="AA101" i="8"/>
  <c r="Y101" i="8"/>
  <c r="W101" i="8"/>
  <c r="U101" i="8"/>
  <c r="S101" i="8"/>
  <c r="Q101" i="8"/>
  <c r="O101" i="8"/>
  <c r="M101" i="8"/>
  <c r="K101" i="8"/>
  <c r="I101" i="8"/>
  <c r="G101" i="8"/>
  <c r="AE100" i="8"/>
  <c r="AC98" i="8"/>
  <c r="AA98" i="8"/>
  <c r="Y98" i="8"/>
  <c r="W98" i="8"/>
  <c r="U98" i="8"/>
  <c r="AE98" i="8" s="1"/>
  <c r="S98" i="8"/>
  <c r="Q98" i="8"/>
  <c r="O98" i="8"/>
  <c r="M98" i="8"/>
  <c r="K98" i="8"/>
  <c r="I98" i="8"/>
  <c r="G98" i="8"/>
  <c r="AE97" i="8"/>
  <c r="AE96" i="8"/>
  <c r="AE95" i="8"/>
  <c r="AE94" i="8"/>
  <c r="AE93" i="8"/>
  <c r="AE92" i="8"/>
  <c r="AE91" i="8"/>
  <c r="AE90" i="8"/>
  <c r="AE89" i="8"/>
  <c r="AE88" i="8"/>
  <c r="AE87" i="8"/>
  <c r="AE86" i="8"/>
  <c r="AE85" i="8"/>
  <c r="AE84" i="8"/>
  <c r="AC82" i="8"/>
  <c r="AA82" i="8"/>
  <c r="W82" i="8"/>
  <c r="U82" i="8"/>
  <c r="S82" i="8"/>
  <c r="Q82" i="8"/>
  <c r="O82" i="8"/>
  <c r="M82" i="8"/>
  <c r="K82" i="8"/>
  <c r="I82" i="8"/>
  <c r="G82" i="8"/>
  <c r="AE81" i="8"/>
  <c r="AE80" i="8"/>
  <c r="AE79" i="8"/>
  <c r="AE78" i="8"/>
  <c r="AE77" i="8"/>
  <c r="AE76" i="8"/>
  <c r="AE75" i="8"/>
  <c r="AE74" i="8"/>
  <c r="AE73" i="8"/>
  <c r="AE72" i="8"/>
  <c r="AE71" i="8"/>
  <c r="AE70" i="8"/>
  <c r="AE69" i="8"/>
  <c r="AE68" i="8"/>
  <c r="AE67" i="8"/>
  <c r="AE66" i="8"/>
  <c r="AE65" i="8"/>
  <c r="AE64" i="8"/>
  <c r="AE63" i="8"/>
  <c r="AE62" i="8"/>
  <c r="AE61" i="8"/>
  <c r="AE60" i="8"/>
  <c r="AE59" i="8"/>
  <c r="AE58" i="8"/>
  <c r="AE57" i="8"/>
  <c r="AE56" i="8"/>
  <c r="AE55" i="8"/>
  <c r="AE54" i="8"/>
  <c r="AI53" i="8"/>
  <c r="AE53" i="8"/>
  <c r="Y53" i="8"/>
  <c r="AI52" i="8"/>
  <c r="Y52" i="8"/>
  <c r="AE52" i="8" s="1"/>
  <c r="AE51" i="8"/>
  <c r="AE50" i="8"/>
  <c r="AE49" i="8"/>
  <c r="AC47" i="8"/>
  <c r="AA47" i="8"/>
  <c r="Y47" i="8"/>
  <c r="W47" i="8"/>
  <c r="U47" i="8"/>
  <c r="S47" i="8"/>
  <c r="Q47" i="8"/>
  <c r="O47" i="8"/>
  <c r="M47" i="8"/>
  <c r="K47" i="8"/>
  <c r="I47" i="8"/>
  <c r="G47" i="8"/>
  <c r="AE47" i="8" s="1"/>
  <c r="AE46" i="8"/>
  <c r="AE45" i="8"/>
  <c r="AE44" i="8"/>
  <c r="AE43" i="8"/>
  <c r="AE42" i="8"/>
  <c r="AE41" i="8"/>
  <c r="AC39" i="8"/>
  <c r="AA39" i="8"/>
  <c r="AA112" i="8" s="1"/>
  <c r="Y39" i="8"/>
  <c r="W39" i="8"/>
  <c r="W112" i="8" s="1"/>
  <c r="U39" i="8"/>
  <c r="U112" i="8" s="1"/>
  <c r="S39" i="8"/>
  <c r="S112" i="8" s="1"/>
  <c r="Q39" i="8"/>
  <c r="Q112" i="8" s="1"/>
  <c r="O39" i="8"/>
  <c r="O112" i="8" s="1"/>
  <c r="M39" i="8"/>
  <c r="M112" i="8" s="1"/>
  <c r="K39" i="8"/>
  <c r="K112" i="8" s="1"/>
  <c r="I39" i="8"/>
  <c r="I112" i="8" s="1"/>
  <c r="G39" i="8"/>
  <c r="G112" i="8" s="1"/>
  <c r="AE38" i="8"/>
  <c r="AE37" i="8"/>
  <c r="AE36" i="8"/>
  <c r="AE35" i="8"/>
  <c r="AE34" i="8"/>
  <c r="AE33" i="8"/>
  <c r="AE32" i="8"/>
  <c r="AE31" i="8"/>
  <c r="AE30" i="8"/>
  <c r="AE25" i="8"/>
  <c r="AC24" i="8"/>
  <c r="AA24" i="8"/>
  <c r="Y24" i="8"/>
  <c r="W24" i="8"/>
  <c r="U24" i="8"/>
  <c r="S24" i="8"/>
  <c r="Q24" i="8"/>
  <c r="O24" i="8"/>
  <c r="M24" i="8"/>
  <c r="K24" i="8"/>
  <c r="I24" i="8"/>
  <c r="G24" i="8"/>
  <c r="AE23" i="8"/>
  <c r="Y21" i="8"/>
  <c r="W21" i="8"/>
  <c r="U21" i="8"/>
  <c r="S21" i="8"/>
  <c r="Q21" i="8"/>
  <c r="O21" i="8"/>
  <c r="M21" i="8"/>
  <c r="K21" i="8"/>
  <c r="I21" i="8"/>
  <c r="G21" i="8"/>
  <c r="AE20" i="8"/>
  <c r="Y19" i="8"/>
  <c r="AE19" i="8" s="1"/>
  <c r="Y18" i="8"/>
  <c r="AE18" i="8" s="1"/>
  <c r="Y17" i="8"/>
  <c r="AE17" i="8" s="1"/>
  <c r="AC16" i="8"/>
  <c r="AC21" i="8" s="1"/>
  <c r="AA16" i="8"/>
  <c r="AA21" i="8" s="1"/>
  <c r="Y16" i="8"/>
  <c r="W14" i="8"/>
  <c r="W26" i="8" s="1"/>
  <c r="W27" i="8" s="1"/>
  <c r="U14" i="8"/>
  <c r="U26" i="8" s="1"/>
  <c r="U27" i="8" s="1"/>
  <c r="U113" i="8" s="1"/>
  <c r="U114" i="8" s="1"/>
  <c r="S14" i="8"/>
  <c r="S26" i="8" s="1"/>
  <c r="S27" i="8" s="1"/>
  <c r="S113" i="8" s="1"/>
  <c r="S114" i="8" s="1"/>
  <c r="Q14" i="8"/>
  <c r="Q26" i="8" s="1"/>
  <c r="Q27" i="8" s="1"/>
  <c r="O14" i="8"/>
  <c r="O26" i="8" s="1"/>
  <c r="O27" i="8" s="1"/>
  <c r="O113" i="8" s="1"/>
  <c r="O114" i="8" s="1"/>
  <c r="M14" i="8"/>
  <c r="M26" i="8" s="1"/>
  <c r="M27" i="8" s="1"/>
  <c r="M113" i="8" s="1"/>
  <c r="M114" i="8" s="1"/>
  <c r="K14" i="8"/>
  <c r="K26" i="8" s="1"/>
  <c r="K27" i="8" s="1"/>
  <c r="K113" i="8" s="1"/>
  <c r="K114" i="8" s="1"/>
  <c r="I14" i="8"/>
  <c r="I26" i="8" s="1"/>
  <c r="I27" i="8" s="1"/>
  <c r="I113" i="8" s="1"/>
  <c r="I114" i="8" s="1"/>
  <c r="G14" i="8"/>
  <c r="Y13" i="8"/>
  <c r="AE13" i="8" s="1"/>
  <c r="AE12" i="8"/>
  <c r="AG11" i="8"/>
  <c r="AC11" i="8"/>
  <c r="AC14" i="8" s="1"/>
  <c r="AC26" i="8" s="1"/>
  <c r="AC27" i="8" s="1"/>
  <c r="AA11" i="8"/>
  <c r="AA14" i="8" s="1"/>
  <c r="Y11" i="8"/>
  <c r="AE11" i="8" s="1"/>
  <c r="AE9" i="8"/>
  <c r="AE8" i="8"/>
  <c r="AC7" i="8"/>
  <c r="AA7" i="8"/>
  <c r="Y7" i="8"/>
  <c r="W7" i="8"/>
  <c r="U7" i="8"/>
  <c r="S7" i="8"/>
  <c r="Q7" i="8"/>
  <c r="O7" i="8"/>
  <c r="M7" i="8"/>
  <c r="K7" i="8"/>
  <c r="I7" i="8"/>
  <c r="G7" i="8"/>
  <c r="AE7" i="8" s="1"/>
  <c r="AE6" i="8"/>
  <c r="AE5" i="8"/>
  <c r="AG5" i="8" s="1"/>
  <c r="G20" i="1" l="1"/>
  <c r="H20" i="1" s="1"/>
  <c r="I20" i="1" s="1"/>
  <c r="AE24" i="8"/>
  <c r="AC112" i="8"/>
  <c r="AC113" i="8" s="1"/>
  <c r="AC114" i="8" s="1"/>
  <c r="AE101" i="8"/>
  <c r="AA26" i="8"/>
  <c r="AA27" i="8" s="1"/>
  <c r="AA113" i="8" s="1"/>
  <c r="AA114" i="8" s="1"/>
  <c r="AE21" i="8"/>
  <c r="Q113" i="8"/>
  <c r="Q114" i="8" s="1"/>
  <c r="W113" i="8"/>
  <c r="W114" i="8" s="1"/>
  <c r="AE16" i="8"/>
  <c r="AE39" i="8"/>
  <c r="G26" i="8"/>
  <c r="Y82" i="8"/>
  <c r="Y112" i="8" s="1"/>
  <c r="Y14" i="8"/>
  <c r="Y26" i="8" s="1"/>
  <c r="Y27" i="8" s="1"/>
  <c r="AE112" i="8" l="1"/>
  <c r="Y113" i="8"/>
  <c r="Y114" i="8" s="1"/>
  <c r="G27" i="8"/>
  <c r="AE26" i="8"/>
  <c r="AE14" i="8"/>
  <c r="AE82" i="8"/>
  <c r="AE27" i="8" l="1"/>
  <c r="G113" i="8"/>
  <c r="G114" i="8" l="1"/>
  <c r="AE114" i="8" s="1"/>
  <c r="AE113" i="8"/>
  <c r="G21" i="1" l="1"/>
  <c r="H21" i="1" s="1"/>
  <c r="I21" i="1" s="1"/>
  <c r="C26" i="1"/>
  <c r="C85" i="1"/>
  <c r="AG109" i="6" l="1"/>
  <c r="C91" i="1"/>
  <c r="C88" i="1"/>
  <c r="C76" i="1"/>
  <c r="AF49" i="6"/>
  <c r="C89" i="1"/>
  <c r="C78" i="1"/>
  <c r="C90" i="1"/>
  <c r="C84" i="1"/>
  <c r="C83" i="1"/>
  <c r="C82" i="1"/>
  <c r="C80" i="1"/>
  <c r="C79" i="1"/>
  <c r="C77" i="1"/>
  <c r="C75" i="1"/>
  <c r="C74" i="1"/>
  <c r="C23" i="1"/>
  <c r="C21" i="1"/>
  <c r="C20" i="1"/>
  <c r="C16" i="1"/>
  <c r="C13" i="1"/>
  <c r="C34" i="1"/>
  <c r="C35" i="1"/>
  <c r="I44" i="1"/>
  <c r="G44" i="1"/>
  <c r="H44" i="1"/>
  <c r="F44" i="1"/>
  <c r="C38" i="1"/>
  <c r="AC20" i="7"/>
  <c r="AA20" i="7"/>
  <c r="Y20" i="7"/>
  <c r="W20" i="7"/>
  <c r="U20" i="7"/>
  <c r="S20" i="7"/>
  <c r="Q20" i="7"/>
  <c r="O20" i="7"/>
  <c r="AG20" i="7"/>
  <c r="AG9" i="7" l="1"/>
  <c r="M75" i="7"/>
  <c r="AE75" i="7" s="1"/>
  <c r="K56" i="7"/>
  <c r="I91" i="7"/>
  <c r="I92" i="7" s="1"/>
  <c r="I93" i="7" s="1"/>
  <c r="AC90" i="7"/>
  <c r="AA90" i="7"/>
  <c r="Y90" i="7"/>
  <c r="W90" i="7"/>
  <c r="U90" i="7"/>
  <c r="S90" i="7"/>
  <c r="Q90" i="7"/>
  <c r="O90" i="7"/>
  <c r="M90" i="7"/>
  <c r="K90" i="7"/>
  <c r="I90" i="7"/>
  <c r="G90" i="7"/>
  <c r="AE89" i="7"/>
  <c r="AE88" i="7"/>
  <c r="AE87" i="7"/>
  <c r="AE86" i="7"/>
  <c r="AE85" i="7"/>
  <c r="AE84" i="7"/>
  <c r="AC82" i="7"/>
  <c r="AA82" i="7"/>
  <c r="Y82" i="7"/>
  <c r="W82" i="7"/>
  <c r="U82" i="7"/>
  <c r="S82" i="7"/>
  <c r="Q82" i="7"/>
  <c r="O82" i="7"/>
  <c r="K82" i="7"/>
  <c r="I82" i="7"/>
  <c r="G82" i="7"/>
  <c r="AE81" i="7"/>
  <c r="AE80" i="7"/>
  <c r="AE79" i="7"/>
  <c r="AE78" i="7"/>
  <c r="AE77" i="7"/>
  <c r="AE76" i="7"/>
  <c r="AE74" i="7"/>
  <c r="AC72" i="7"/>
  <c r="AA72" i="7"/>
  <c r="Y72" i="7"/>
  <c r="W72" i="7"/>
  <c r="U72" i="7"/>
  <c r="S72" i="7"/>
  <c r="Q72" i="7"/>
  <c r="O72" i="7"/>
  <c r="M72" i="7"/>
  <c r="K72" i="7"/>
  <c r="I72" i="7"/>
  <c r="G72" i="7"/>
  <c r="G91" i="7" s="1"/>
  <c r="G92" i="7" s="1"/>
  <c r="G93" i="7" s="1"/>
  <c r="AE71" i="7"/>
  <c r="AE70" i="7"/>
  <c r="AE69" i="7"/>
  <c r="AE68" i="7"/>
  <c r="AE67" i="7"/>
  <c r="AE66" i="7"/>
  <c r="AE65" i="7"/>
  <c r="AE64" i="7"/>
  <c r="AE63" i="7"/>
  <c r="AE62" i="7"/>
  <c r="AE61" i="7"/>
  <c r="AE60" i="7"/>
  <c r="AE59" i="7"/>
  <c r="AE58" i="7"/>
  <c r="AE57" i="7"/>
  <c r="AE56" i="7"/>
  <c r="AE55" i="7"/>
  <c r="AE54" i="7"/>
  <c r="AE53" i="7"/>
  <c r="AE52" i="7"/>
  <c r="AE51" i="7"/>
  <c r="AE50" i="7"/>
  <c r="AE49" i="7"/>
  <c r="AE48" i="7"/>
  <c r="AE47" i="7"/>
  <c r="AE46" i="7"/>
  <c r="AE45" i="7"/>
  <c r="AE44" i="7"/>
  <c r="AE43" i="7"/>
  <c r="AC41" i="7"/>
  <c r="AA41" i="7"/>
  <c r="Y41" i="7"/>
  <c r="W41" i="7"/>
  <c r="U41" i="7"/>
  <c r="S41" i="7"/>
  <c r="Q41" i="7"/>
  <c r="O41" i="7"/>
  <c r="M41" i="7"/>
  <c r="K41" i="7"/>
  <c r="I41" i="7"/>
  <c r="G41" i="7"/>
  <c r="AE40" i="7"/>
  <c r="AE39" i="7"/>
  <c r="AE38" i="7"/>
  <c r="AE37" i="7"/>
  <c r="AE36" i="7"/>
  <c r="AE35" i="7"/>
  <c r="AC33" i="7"/>
  <c r="AA33" i="7"/>
  <c r="Y33" i="7"/>
  <c r="W33" i="7"/>
  <c r="U33" i="7"/>
  <c r="S33" i="7"/>
  <c r="Q33" i="7"/>
  <c r="O33" i="7"/>
  <c r="M33" i="7"/>
  <c r="K33" i="7"/>
  <c r="I33" i="7"/>
  <c r="G33" i="7"/>
  <c r="AE32" i="7"/>
  <c r="AE31" i="7"/>
  <c r="AE30" i="7"/>
  <c r="AE29" i="7"/>
  <c r="AE28" i="7"/>
  <c r="AE27" i="7"/>
  <c r="K24" i="7"/>
  <c r="I24" i="7"/>
  <c r="G24" i="7"/>
  <c r="K23" i="7"/>
  <c r="I23" i="7"/>
  <c r="G23" i="7"/>
  <c r="AE22" i="7"/>
  <c r="AC21" i="7"/>
  <c r="AA21" i="7"/>
  <c r="Y21" i="7"/>
  <c r="W21" i="7"/>
  <c r="U21" i="7"/>
  <c r="S21" i="7"/>
  <c r="Q21" i="7"/>
  <c r="O21" i="7"/>
  <c r="M21" i="7"/>
  <c r="K21" i="7"/>
  <c r="I21" i="7"/>
  <c r="G21" i="7"/>
  <c r="AE20" i="7"/>
  <c r="AC18" i="7"/>
  <c r="AA18" i="7"/>
  <c r="Y18" i="7"/>
  <c r="W18" i="7"/>
  <c r="U18" i="7"/>
  <c r="S18" i="7"/>
  <c r="Q18" i="7"/>
  <c r="O18" i="7"/>
  <c r="M18" i="7"/>
  <c r="K18" i="7"/>
  <c r="I18" i="7"/>
  <c r="G18" i="7"/>
  <c r="AE17" i="7"/>
  <c r="AE16" i="7"/>
  <c r="AE15" i="7"/>
  <c r="AE14" i="7"/>
  <c r="AE13" i="7"/>
  <c r="AC11" i="7"/>
  <c r="AA11" i="7"/>
  <c r="Y11" i="7"/>
  <c r="W11" i="7"/>
  <c r="U11" i="7"/>
  <c r="S11" i="7"/>
  <c r="Q11" i="7"/>
  <c r="O11" i="7"/>
  <c r="M11" i="7"/>
  <c r="K11" i="7"/>
  <c r="I11" i="7"/>
  <c r="G11" i="7"/>
  <c r="AE10" i="7"/>
  <c r="AE9" i="7"/>
  <c r="AC7" i="7"/>
  <c r="AA7" i="7"/>
  <c r="Y7" i="7"/>
  <c r="W7" i="7"/>
  <c r="U7" i="7"/>
  <c r="S7" i="7"/>
  <c r="Q7" i="7"/>
  <c r="O7" i="7"/>
  <c r="M7" i="7"/>
  <c r="K7" i="7"/>
  <c r="I7" i="7"/>
  <c r="G7" i="7"/>
  <c r="AE6" i="7"/>
  <c r="AE5" i="7"/>
  <c r="AE114" i="6"/>
  <c r="AC114" i="6"/>
  <c r="AA114" i="6"/>
  <c r="Y114" i="6"/>
  <c r="W114" i="6"/>
  <c r="U114" i="6"/>
  <c r="S114" i="6"/>
  <c r="Q114" i="6"/>
  <c r="O114" i="6"/>
  <c r="M114" i="6"/>
  <c r="K114" i="6"/>
  <c r="I114" i="6"/>
  <c r="G114" i="6"/>
  <c r="AE113" i="6"/>
  <c r="AC113" i="6"/>
  <c r="AA113" i="6"/>
  <c r="Y113" i="6"/>
  <c r="W113" i="6"/>
  <c r="U113" i="6"/>
  <c r="S113" i="6"/>
  <c r="Q113" i="6"/>
  <c r="O113" i="6"/>
  <c r="M113" i="6"/>
  <c r="K113" i="6"/>
  <c r="I113" i="6"/>
  <c r="G113" i="6"/>
  <c r="AE112" i="6"/>
  <c r="AC112" i="6"/>
  <c r="AA112" i="6"/>
  <c r="Y112" i="6"/>
  <c r="W112" i="6"/>
  <c r="U112" i="6"/>
  <c r="S112" i="6"/>
  <c r="Q112" i="6"/>
  <c r="O112" i="6"/>
  <c r="M112" i="6"/>
  <c r="K112" i="6"/>
  <c r="I112" i="6"/>
  <c r="G112" i="6"/>
  <c r="AE111" i="6"/>
  <c r="AC111" i="6"/>
  <c r="AA111" i="6"/>
  <c r="Y111" i="6"/>
  <c r="W111" i="6"/>
  <c r="U111" i="6"/>
  <c r="S111" i="6"/>
  <c r="Q111" i="6"/>
  <c r="O111" i="6"/>
  <c r="M111" i="6"/>
  <c r="K111" i="6"/>
  <c r="I111" i="6"/>
  <c r="G111" i="6"/>
  <c r="AE110" i="6"/>
  <c r="AE109" i="6"/>
  <c r="AE108" i="6"/>
  <c r="AE107" i="6"/>
  <c r="AE106" i="6"/>
  <c r="AE105" i="6"/>
  <c r="AE104" i="6"/>
  <c r="AE103" i="6"/>
  <c r="AE102" i="6"/>
  <c r="AE100" i="6"/>
  <c r="AC100" i="6"/>
  <c r="AA100" i="6"/>
  <c r="Y100" i="6"/>
  <c r="W100" i="6"/>
  <c r="U100" i="6"/>
  <c r="S100" i="6"/>
  <c r="Q100" i="6"/>
  <c r="O100" i="6"/>
  <c r="M100" i="6"/>
  <c r="K100" i="6"/>
  <c r="I100" i="6"/>
  <c r="G100" i="6"/>
  <c r="AE99" i="6"/>
  <c r="AE98" i="6"/>
  <c r="AE97" i="6"/>
  <c r="AE96" i="6"/>
  <c r="AE95" i="6"/>
  <c r="AE94" i="6"/>
  <c r="AE93" i="6"/>
  <c r="AE92" i="6"/>
  <c r="AE91" i="6"/>
  <c r="AE90" i="6"/>
  <c r="AE89" i="6"/>
  <c r="AE88" i="6"/>
  <c r="AE87" i="6"/>
  <c r="AE85" i="6"/>
  <c r="AC85" i="6"/>
  <c r="AA85" i="6"/>
  <c r="Y85" i="6"/>
  <c r="W85" i="6"/>
  <c r="U85" i="6"/>
  <c r="S85" i="6"/>
  <c r="Q85" i="6"/>
  <c r="O85" i="6"/>
  <c r="M85" i="6"/>
  <c r="K85" i="6"/>
  <c r="I85" i="6"/>
  <c r="G85" i="6"/>
  <c r="AE84" i="6"/>
  <c r="AE83" i="6"/>
  <c r="AE82" i="6"/>
  <c r="AE81" i="6"/>
  <c r="AE80" i="6"/>
  <c r="AE79" i="6"/>
  <c r="AE78" i="6"/>
  <c r="AE77" i="6"/>
  <c r="AE76" i="6"/>
  <c r="AE75" i="6"/>
  <c r="AE74" i="6"/>
  <c r="AE73" i="6"/>
  <c r="AE72" i="6"/>
  <c r="AE71" i="6"/>
  <c r="AE70" i="6"/>
  <c r="AE69" i="6"/>
  <c r="AE68" i="6"/>
  <c r="AE67" i="6"/>
  <c r="AE66" i="6"/>
  <c r="AE65" i="6"/>
  <c r="AE64" i="6"/>
  <c r="AE63" i="6"/>
  <c r="AE62" i="6"/>
  <c r="AE61" i="6"/>
  <c r="AE60" i="6"/>
  <c r="AE59" i="6"/>
  <c r="AE58" i="6"/>
  <c r="AE57" i="6"/>
  <c r="AE56" i="6"/>
  <c r="AE55" i="6"/>
  <c r="AE54" i="6"/>
  <c r="AE53" i="6"/>
  <c r="AE52" i="6"/>
  <c r="AE51" i="6"/>
  <c r="AE50" i="6"/>
  <c r="AE49" i="6"/>
  <c r="AE47" i="6"/>
  <c r="AC47" i="6"/>
  <c r="AA47" i="6"/>
  <c r="Y47" i="6"/>
  <c r="W47" i="6"/>
  <c r="U47" i="6"/>
  <c r="S47" i="6"/>
  <c r="Q47" i="6"/>
  <c r="O47" i="6"/>
  <c r="M47" i="6"/>
  <c r="K47" i="6"/>
  <c r="I47" i="6"/>
  <c r="G47" i="6"/>
  <c r="AE46" i="6"/>
  <c r="AE45" i="6"/>
  <c r="AE44" i="6"/>
  <c r="AE43" i="6"/>
  <c r="AE42" i="6"/>
  <c r="AE41" i="6"/>
  <c r="AE39" i="6"/>
  <c r="AC39" i="6"/>
  <c r="AA39" i="6"/>
  <c r="Y39" i="6"/>
  <c r="W39" i="6"/>
  <c r="U39" i="6"/>
  <c r="S39" i="6"/>
  <c r="Q39" i="6"/>
  <c r="O39" i="6"/>
  <c r="M39" i="6"/>
  <c r="K39" i="6"/>
  <c r="I39" i="6"/>
  <c r="G39" i="6"/>
  <c r="AE38" i="6"/>
  <c r="AE37" i="6"/>
  <c r="AE36" i="6"/>
  <c r="AE35" i="6"/>
  <c r="AE34" i="6"/>
  <c r="AE33" i="6"/>
  <c r="AE32" i="6"/>
  <c r="AE31" i="6"/>
  <c r="AE30" i="6"/>
  <c r="AE29" i="6"/>
  <c r="AE26" i="6"/>
  <c r="AC26" i="6"/>
  <c r="AA26" i="6"/>
  <c r="Y26" i="6"/>
  <c r="W26" i="6"/>
  <c r="U26" i="6"/>
  <c r="S26" i="6"/>
  <c r="Q26" i="6"/>
  <c r="O26" i="6"/>
  <c r="M26" i="6"/>
  <c r="K26" i="6"/>
  <c r="I26" i="6"/>
  <c r="G26" i="6"/>
  <c r="AE25" i="6"/>
  <c r="AC25" i="6"/>
  <c r="AA25" i="6"/>
  <c r="Y25" i="6"/>
  <c r="W25" i="6"/>
  <c r="U25" i="6"/>
  <c r="S25" i="6"/>
  <c r="Q25" i="6"/>
  <c r="O25" i="6"/>
  <c r="M25" i="6"/>
  <c r="K25" i="6"/>
  <c r="I25" i="6"/>
  <c r="G25" i="6"/>
  <c r="AE24" i="6"/>
  <c r="AE23" i="6"/>
  <c r="AC23" i="6"/>
  <c r="AA23" i="6"/>
  <c r="Y23" i="6"/>
  <c r="W23" i="6"/>
  <c r="U23" i="6"/>
  <c r="S23" i="6"/>
  <c r="Q23" i="6"/>
  <c r="O23" i="6"/>
  <c r="M23" i="6"/>
  <c r="K23" i="6"/>
  <c r="I23" i="6"/>
  <c r="G23" i="6"/>
  <c r="AE22" i="6"/>
  <c r="AE20" i="6"/>
  <c r="AC20" i="6"/>
  <c r="AA20" i="6"/>
  <c r="Y20" i="6"/>
  <c r="W20" i="6"/>
  <c r="U20" i="6"/>
  <c r="S20" i="6"/>
  <c r="Q20" i="6"/>
  <c r="O20" i="6"/>
  <c r="M20" i="6"/>
  <c r="K20" i="6"/>
  <c r="I20" i="6"/>
  <c r="G20" i="6"/>
  <c r="AE19" i="6"/>
  <c r="AE18" i="6"/>
  <c r="AE17" i="6"/>
  <c r="AE16" i="6"/>
  <c r="AE15" i="6"/>
  <c r="AE13" i="6"/>
  <c r="AC13" i="6"/>
  <c r="AA13" i="6"/>
  <c r="Y13" i="6"/>
  <c r="W13" i="6"/>
  <c r="U13" i="6"/>
  <c r="S13" i="6"/>
  <c r="Q13" i="6"/>
  <c r="O13" i="6"/>
  <c r="M13" i="6"/>
  <c r="K13" i="6"/>
  <c r="I13" i="6"/>
  <c r="G13" i="6"/>
  <c r="AE12" i="6"/>
  <c r="AE11" i="6"/>
  <c r="AE10" i="6"/>
  <c r="AE8" i="6"/>
  <c r="AE7" i="6"/>
  <c r="AC7" i="6"/>
  <c r="AA7" i="6"/>
  <c r="Y7" i="6"/>
  <c r="W7" i="6"/>
  <c r="U7" i="6"/>
  <c r="S7" i="6"/>
  <c r="Q7" i="6"/>
  <c r="O7" i="6"/>
  <c r="M7" i="6"/>
  <c r="K7" i="6"/>
  <c r="I7" i="6"/>
  <c r="G7" i="6"/>
  <c r="AE6" i="6"/>
  <c r="AE5" i="6"/>
  <c r="B85" i="1"/>
  <c r="B76" i="1"/>
  <c r="B75" i="1"/>
  <c r="B92" i="1" l="1"/>
  <c r="AE21" i="7"/>
  <c r="O23" i="7"/>
  <c r="O24" i="7" s="1"/>
  <c r="S23" i="7"/>
  <c r="S24" i="7" s="1"/>
  <c r="Q23" i="7"/>
  <c r="Q24" i="7" s="1"/>
  <c r="AE18" i="7"/>
  <c r="AC23" i="7"/>
  <c r="AC24" i="7" s="1"/>
  <c r="AA23" i="7"/>
  <c r="AA24" i="7" s="1"/>
  <c r="Y23" i="7"/>
  <c r="Y24" i="7" s="1"/>
  <c r="W23" i="7"/>
  <c r="W24" i="7" s="1"/>
  <c r="U23" i="7"/>
  <c r="U24" i="7" s="1"/>
  <c r="AE11" i="7"/>
  <c r="M23" i="7"/>
  <c r="M24" i="7" s="1"/>
  <c r="AE7" i="7"/>
  <c r="M82" i="7"/>
  <c r="AE82" i="7" s="1"/>
  <c r="K91" i="7"/>
  <c r="K92" i="7" s="1"/>
  <c r="K93" i="7" s="1"/>
  <c r="AE90" i="7"/>
  <c r="W91" i="7"/>
  <c r="S91" i="7"/>
  <c r="O91" i="7"/>
  <c r="AC91" i="7"/>
  <c r="AA91" i="7"/>
  <c r="U91" i="7"/>
  <c r="AE72" i="7"/>
  <c r="Y91" i="7"/>
  <c r="Q91" i="7"/>
  <c r="AE41" i="7"/>
  <c r="AE33" i="7"/>
  <c r="B44" i="1"/>
  <c r="B28" i="1"/>
  <c r="B16" i="1"/>
  <c r="B17" i="1" s="1"/>
  <c r="B31" i="1" l="1"/>
  <c r="B49" i="1" s="1"/>
  <c r="B53" i="1"/>
  <c r="O92" i="7"/>
  <c r="O93" i="7" s="1"/>
  <c r="Q92" i="7"/>
  <c r="Q93" i="7" s="1"/>
  <c r="S92" i="7"/>
  <c r="S93" i="7" s="1"/>
  <c r="AC92" i="7"/>
  <c r="AC93" i="7" s="1"/>
  <c r="AA92" i="7"/>
  <c r="AA93" i="7" s="1"/>
  <c r="AE24" i="7"/>
  <c r="Y92" i="7"/>
  <c r="Y93" i="7" s="1"/>
  <c r="W92" i="7"/>
  <c r="W93" i="7" s="1"/>
  <c r="U92" i="7"/>
  <c r="U93" i="7" s="1"/>
  <c r="AE23" i="7"/>
  <c r="M91" i="7"/>
  <c r="M92" i="7" s="1"/>
  <c r="M93" i="7" s="1"/>
  <c r="AE91" i="7" l="1"/>
  <c r="AE92" i="7"/>
  <c r="AE93" i="7"/>
  <c r="E92" i="1" l="1"/>
  <c r="E22" i="1" l="1"/>
  <c r="E28" i="1" s="1"/>
  <c r="D28" i="1"/>
  <c r="D31" i="1" s="1"/>
  <c r="D49" i="1" s="1"/>
  <c r="E17" i="1" l="1"/>
  <c r="B146" i="1" l="1"/>
  <c r="E31" i="1" l="1"/>
  <c r="E49" i="1" s="1"/>
  <c r="H101" i="1" l="1"/>
  <c r="F17" i="1"/>
  <c r="F113" i="1"/>
  <c r="F110" i="1"/>
  <c r="E116" i="1"/>
  <c r="D116" i="1"/>
  <c r="G101" i="1"/>
  <c r="F101" i="1"/>
  <c r="I99" i="1"/>
  <c r="H99" i="1"/>
  <c r="G99" i="1"/>
  <c r="F99" i="1"/>
  <c r="B99" i="1"/>
  <c r="D98" i="1"/>
  <c r="C98" i="1"/>
  <c r="B97" i="1"/>
  <c r="I96" i="1"/>
  <c r="H96" i="1"/>
  <c r="G96" i="1"/>
  <c r="F96" i="1"/>
  <c r="E96" i="1"/>
  <c r="E97" i="1" s="1"/>
  <c r="D96" i="1"/>
  <c r="C44" i="1"/>
  <c r="D99" i="1"/>
  <c r="P18" i="1"/>
  <c r="Q18" i="1" s="1"/>
  <c r="O19" i="1" s="1"/>
  <c r="Q19" i="1" s="1"/>
  <c r="O20" i="1" s="1"/>
  <c r="Q20" i="1" s="1"/>
  <c r="O21" i="1" s="1"/>
  <c r="Q21" i="1" s="1"/>
  <c r="C97" i="1"/>
  <c r="Q15" i="1"/>
  <c r="Q14" i="1"/>
  <c r="Q13" i="1"/>
  <c r="C17" i="1"/>
  <c r="Q12" i="1"/>
  <c r="Q11" i="1"/>
  <c r="F100" i="1" l="1"/>
  <c r="F92" i="1"/>
  <c r="F22" i="1" s="1"/>
  <c r="F116" i="1"/>
  <c r="I101" i="1"/>
  <c r="G17" i="1"/>
  <c r="G92" i="1" s="1"/>
  <c r="C92" i="1"/>
  <c r="C22" i="1" s="1"/>
  <c r="C28" i="1" s="1"/>
  <c r="C31" i="1" s="1"/>
  <c r="H98" i="1"/>
  <c r="G98" i="1"/>
  <c r="E98" i="1"/>
  <c r="F98" i="1"/>
  <c r="E100" i="1"/>
  <c r="D100" i="1"/>
  <c r="D101" i="1"/>
  <c r="E101" i="1"/>
  <c r="C51" i="1"/>
  <c r="C116" i="1"/>
  <c r="E99" i="1"/>
  <c r="D102" i="1" l="1"/>
  <c r="F28" i="1"/>
  <c r="B147" i="1" s="1"/>
  <c r="G22" i="1"/>
  <c r="G28" i="1" s="1"/>
  <c r="G100" i="1"/>
  <c r="C49" i="1"/>
  <c r="C53" i="1" s="1"/>
  <c r="D97" i="1"/>
  <c r="F31" i="1" l="1"/>
  <c r="F49" i="1" s="1"/>
  <c r="E51" i="1"/>
  <c r="E102" i="1" s="1"/>
  <c r="D51" i="1"/>
  <c r="D53" i="1" s="1"/>
  <c r="G31" i="1"/>
  <c r="G49" i="1" s="1"/>
  <c r="H17" i="1"/>
  <c r="E53" i="1"/>
  <c r="F51" i="1" s="1"/>
  <c r="F102" i="1" s="1"/>
  <c r="I98" i="1"/>
  <c r="F97" i="1" l="1"/>
  <c r="H100" i="1"/>
  <c r="H92" i="1"/>
  <c r="H22" i="1" s="1"/>
  <c r="H28" i="1" s="1"/>
  <c r="I17" i="1"/>
  <c r="G97" i="1"/>
  <c r="F53" i="1"/>
  <c r="G51" i="1" s="1"/>
  <c r="G102" i="1" s="1"/>
  <c r="B148" i="1" l="1"/>
  <c r="B149" i="1"/>
  <c r="H31" i="1"/>
  <c r="I100" i="1"/>
  <c r="I92" i="1"/>
  <c r="I22" i="1" s="1"/>
  <c r="I28" i="1" s="1"/>
  <c r="B150" i="1" s="1"/>
  <c r="G53" i="1"/>
  <c r="H51" i="1" s="1"/>
  <c r="H102" i="1" s="1"/>
  <c r="I31" i="1" l="1"/>
  <c r="I49" i="1" s="1"/>
  <c r="H97" i="1"/>
  <c r="H49" i="1"/>
  <c r="H53" i="1" s="1"/>
  <c r="I51" i="1" s="1"/>
  <c r="I102" i="1" s="1"/>
  <c r="I97" i="1" l="1"/>
  <c r="I53" i="1"/>
</calcChain>
</file>

<file path=xl/sharedStrings.xml><?xml version="1.0" encoding="utf-8"?>
<sst xmlns="http://schemas.openxmlformats.org/spreadsheetml/2006/main" count="523" uniqueCount="289">
  <si>
    <t>FY 25- 10-31-24 submission</t>
  </si>
  <si>
    <t>IRN No.: 151183</t>
  </si>
  <si>
    <t>County:</t>
  </si>
  <si>
    <t>Cuyahoga</t>
  </si>
  <si>
    <t>Type of School: Brick and Mortar</t>
  </si>
  <si>
    <t>Contract Term: 6/30/29</t>
  </si>
  <si>
    <t>School Name:</t>
  </si>
  <si>
    <t>Lake Erie International High School</t>
  </si>
  <si>
    <t>Statement of Receipt, Disbursements, and Changes in Fund Cash Balances</t>
  </si>
  <si>
    <t>For the Fiscal Years Ended 2022 through 2024, Actual and</t>
  </si>
  <si>
    <t>the Fiscal Years Ending 2025 through 2029, Forecasted</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</si>
  <si>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</si>
  <si>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</si>
  <si>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</si>
  <si>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</si>
  <si>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</si>
  <si>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</si>
  <si>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</si>
  <si>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</si>
  <si>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</si>
  <si>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</si>
  <si>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</si>
  <si>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</si>
  <si>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</si>
  <si>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</si>
  <si>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</si>
  <si>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</si>
  <si>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</si>
  <si>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</si>
  <si>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</si>
  <si>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</si>
  <si>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</si>
  <si>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</si>
  <si>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</si>
  <si>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</si>
  <si>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</si>
  <si>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</si>
  <si>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</si>
  <si>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Loss on Disposition of Assets</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</si>
  <si>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</si>
  <si>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</si>
  <si>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</si>
  <si>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</si>
  <si>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</si>
  <si>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</si>
  <si>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</si>
  <si>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</si>
  <si>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</si>
  <si>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</si>
  <si>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</si>
  <si>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</si>
  <si>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</si>
  <si>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</si>
  <si>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</si>
  <si>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</si>
  <si>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</si>
  <si>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</si>
  <si>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Total Student FTE</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</si>
  <si>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</si>
  <si>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</si>
  <si>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</si>
  <si>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</si>
  <si>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</si>
  <si>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</si>
  <si>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</si>
  <si>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</si>
  <si>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</si>
  <si>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</si>
  <si>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</si>
  <si>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</si>
  <si>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</si>
  <si>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</si>
  <si>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</si>
  <si>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</si>
  <si>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Salaries and Wages</t>
  </si>
  <si>
    <t>Employee Benefits</t>
  </si>
  <si>
    <t>Special Education Services</t>
  </si>
  <si>
    <t>Technology Services</t>
  </si>
  <si>
    <t>Food Services</t>
  </si>
  <si>
    <t xml:space="preserve">Other  </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</si>
  <si>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</si>
  <si>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</si>
  <si>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</si>
  <si>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</si>
  <si>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</si>
  <si>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</si>
  <si>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</si>
  <si>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</si>
  <si>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</si>
  <si>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</si>
  <si>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Fiscal Year 2024-2028 Projected Debt</t>
  </si>
  <si>
    <t>Description</t>
  </si>
  <si>
    <t>Beginning
Year Balance</t>
  </si>
  <si>
    <t>Principle Retirement</t>
  </si>
  <si>
    <t>Interest Expense</t>
  </si>
  <si>
    <t>Ending
Year Balance</t>
  </si>
  <si>
    <t>Debitor/
Creditor</t>
  </si>
  <si>
    <t>FTE Review</t>
  </si>
  <si>
    <t>Westfield Bank</t>
  </si>
  <si>
    <t>Loan B</t>
  </si>
  <si>
    <t>Line of Credit</t>
  </si>
  <si>
    <t>Notes, Bonds</t>
  </si>
  <si>
    <t>Capital Leases</t>
  </si>
  <si>
    <t>Payables (Past Due 180+ days)</t>
  </si>
  <si>
    <t>1) Enrollment Trends</t>
  </si>
  <si>
    <t xml:space="preserve">Enrollment is assumed at 141 for FY 25 with a 3% increase each year.  Foundation to remain contant as the although we expect enrollment to </t>
  </si>
  <si>
    <t>increase due to drop out recovery history.  Building maximum capacity is 250</t>
  </si>
  <si>
    <t>2) Staffing levels</t>
  </si>
  <si>
    <t>Staffing is assumed to be 12 for all years of the forecast.  The building is not at maximum capacity and does allow for enrollment growth.  Employees are paid out of both general and federal grant funds. Cost of living increases of 3% for all years after FY 24</t>
  </si>
  <si>
    <t>Benefits include Medicare, Workers’ Compensation, retirement and unemployment.  In addition, the school provides health insurance coverage to its staff.  Benefits are projected to be between 23% to 35% of salaries for FY 2024 – FY 2028.</t>
  </si>
  <si>
    <t>3) Service levels</t>
  </si>
  <si>
    <t>Will be servicing Students 9-12</t>
  </si>
  <si>
    <t>4) State foundation</t>
  </si>
  <si>
    <t>State settlement report as of Oct 24 for annual revenues for FY 25.  Projected increases in enrollment and revenue</t>
  </si>
  <si>
    <t>5) Other receipts</t>
  </si>
  <si>
    <t xml:space="preserve">Is based on casino, refunds, and other miscellaneous receipts.  </t>
  </si>
  <si>
    <t>6) Operating Disbursements</t>
  </si>
  <si>
    <t xml:space="preserve">Increased by 3% in conjunction with revenue increases.  </t>
  </si>
  <si>
    <t>7) Debt</t>
  </si>
  <si>
    <t>School purchased new building, debt expenses recorded in fy 25 and debt schedule.</t>
  </si>
  <si>
    <t>8) Purchased Services</t>
  </si>
  <si>
    <t>General fund purchased services are the largest expenditure item.  The five largest general fund purchased service items are rent, consultants, repairs/maintenance/trash removal, and utilities.    No increases for inflation were projected for FY 2022-26 based on contractual agreements.</t>
  </si>
  <si>
    <t>9) Other objects</t>
  </si>
  <si>
    <t>Other objects do not include audit fees and insurance as the new format requires them to be included in Purchased services.  All other fees per the USAS manual are included.</t>
  </si>
  <si>
    <t>10) Other assumptions</t>
  </si>
  <si>
    <t>11) Additional Assumptions</t>
  </si>
  <si>
    <t>For years beyond FY 24, certain expenditures will increase 3% besides contracts that are considered multi-year or standard contracts.</t>
  </si>
  <si>
    <t>12) Federal Receipts</t>
  </si>
  <si>
    <t>Reduction in grants for years 2025-2026</t>
  </si>
  <si>
    <t>13)  Other Debt</t>
  </si>
  <si>
    <t>The school is in the process of purchasing a building for 2.4 mil during FY 24.  Loan should conclude by April 15, 2024.  Payment terms</t>
  </si>
  <si>
    <t>are not reflected during FY 24 until loan closes.  For years FY 25 and beyond, those payments will be reflected within the forecast.</t>
  </si>
  <si>
    <t>Also the school was awarded 1M through the state facilities grant program.  Expect to receive 1M during FY 25.</t>
  </si>
  <si>
    <t>Total Expenditures per pupil</t>
  </si>
  <si>
    <t>FY 25</t>
  </si>
  <si>
    <t>FY 26</t>
  </si>
  <si>
    <t>FY 27</t>
  </si>
  <si>
    <t>FY 28</t>
  </si>
  <si>
    <t>FY 29</t>
  </si>
  <si>
    <t>Jul 23</t>
  </si>
  <si>
    <t>Aug 23</t>
  </si>
  <si>
    <t>Sep 23</t>
  </si>
  <si>
    <t>Oct 23</t>
  </si>
  <si>
    <t>Nov 23</t>
  </si>
  <si>
    <t>Dec 23</t>
  </si>
  <si>
    <t>Jan 24</t>
  </si>
  <si>
    <t>Feb 24</t>
  </si>
  <si>
    <t>Mar 24</t>
  </si>
  <si>
    <t>Apr 24</t>
  </si>
  <si>
    <t>May 24</t>
  </si>
  <si>
    <t>Jun 24</t>
  </si>
  <si>
    <t>TOTAL</t>
  </si>
  <si>
    <t>Ordinary Income/Expense</t>
  </si>
  <si>
    <t>Income</t>
  </si>
  <si>
    <t>1400 · Investment Earnings</t>
  </si>
  <si>
    <t>1410 · Interest</t>
  </si>
  <si>
    <t>1440 · Property Income</t>
  </si>
  <si>
    <t>Total 1400 · Investment Earnings</t>
  </si>
  <si>
    <t>1600 · Extracurricular</t>
  </si>
  <si>
    <t>1800 · Misc Local Revenue</t>
  </si>
  <si>
    <t>3100 · State Unrestricted Grant in Aid</t>
  </si>
  <si>
    <t>3110 · Foundation Basic</t>
  </si>
  <si>
    <t>3190 · Casino Tax</t>
  </si>
  <si>
    <t>3191 · Facilities Funding</t>
  </si>
  <si>
    <t>Total 3100 · State Unrestricted Grant in Aid</t>
  </si>
  <si>
    <t>3200 · State Restricted Grant In-Aid</t>
  </si>
  <si>
    <t>3211 · Disadvataged Pupil Impact</t>
  </si>
  <si>
    <t>3215 · Career Technical Education</t>
  </si>
  <si>
    <t>3217 · English Learners Funding</t>
  </si>
  <si>
    <t>3218 · Student Wellness</t>
  </si>
  <si>
    <t>3219 · Other State Grants</t>
  </si>
  <si>
    <t>Total 3200 · State Restricted Grant In-Aid</t>
  </si>
  <si>
    <t>4200 · Fed Restricted Grant-In-Aid</t>
  </si>
  <si>
    <t>4220 · Fed Restricted Grant-In-Aid</t>
  </si>
  <si>
    <t>Total 4200 · Fed Restricted Grant-In-Aid</t>
  </si>
  <si>
    <t>5300 · Refund of Prior Year Expense</t>
  </si>
  <si>
    <t>Total Income</t>
  </si>
  <si>
    <t>Gross Profit</t>
  </si>
  <si>
    <t>Expense</t>
  </si>
  <si>
    <t>100 · Salaries</t>
  </si>
  <si>
    <t>1111190 · 205 Teaching Assignmen</t>
  </si>
  <si>
    <t>1111290 · 205 Spec Ed</t>
  </si>
  <si>
    <t>1111316 · 205 Vocational Ed</t>
  </si>
  <si>
    <t>1191132 · Instructional Aide</t>
  </si>
  <si>
    <t>1411190 · Bonus/Extended Learning Stipend</t>
  </si>
  <si>
    <t>1412129 · Support Services Pupils</t>
  </si>
  <si>
    <t>1412130 · Family Support Services</t>
  </si>
  <si>
    <t>1412411 · 502 Secretary</t>
  </si>
  <si>
    <t>1412421 · Principal</t>
  </si>
  <si>
    <t>Total 100 · Salaries</t>
  </si>
  <si>
    <t>200 · Benefits</t>
  </si>
  <si>
    <t>2111190 · STRS Employers Match</t>
  </si>
  <si>
    <t>2212490 · SERS Employer Pickup</t>
  </si>
  <si>
    <t>2411190 · Medical Teacher</t>
  </si>
  <si>
    <t>2421132 · Life Insurance Company</t>
  </si>
  <si>
    <t>2601190 · BWC</t>
  </si>
  <si>
    <t>2811132 · Unemployment</t>
  </si>
  <si>
    <t>Total 200 · Benefits</t>
  </si>
  <si>
    <t>400 · Purchased Services</t>
  </si>
  <si>
    <t>4111190 · Instructional Services</t>
  </si>
  <si>
    <t>4122949 · Professional Development</t>
  </si>
  <si>
    <t>4132144 · Pschological Services</t>
  </si>
  <si>
    <t>4151130 · Management Services</t>
  </si>
  <si>
    <t>4152310 · Sponsor Fees</t>
  </si>
  <si>
    <t>4162933 · IT Services</t>
  </si>
  <si>
    <t>4182310 · Board Stipends</t>
  </si>
  <si>
    <t>4182491 · Legal</t>
  </si>
  <si>
    <t>4182510 · Accounting &amp; Auditing</t>
  </si>
  <si>
    <t>4192400 · Other Prof Services</t>
  </si>
  <si>
    <t>4192720 · Security Services</t>
  </si>
  <si>
    <t>4222790 · Garbage Removal</t>
  </si>
  <si>
    <t>4232720 · Repairs</t>
  </si>
  <si>
    <t>4232790 · Janitorial Services</t>
  </si>
  <si>
    <t>4232840 · Main. of Sch. Vehicles</t>
  </si>
  <si>
    <t>4252720 · Rentals</t>
  </si>
  <si>
    <t>4252721 · Rent</t>
  </si>
  <si>
    <t>4262790 · Lease Purchase</t>
  </si>
  <si>
    <t>4292790 · Other Property Service</t>
  </si>
  <si>
    <t>4392310 · Board Meeting Expense</t>
  </si>
  <si>
    <t>4392411 · Travel Meeting Expense Staff</t>
  </si>
  <si>
    <t>4412790 · Telephone</t>
  </si>
  <si>
    <t>4432790 · Postage</t>
  </si>
  <si>
    <t>4442790 · Postage Machine Rental</t>
  </si>
  <si>
    <t>4452790 · Messenger Service</t>
  </si>
  <si>
    <t>4462490 · Advertising</t>
  </si>
  <si>
    <t>4492790 · Other Comm. (Internet)</t>
  </si>
  <si>
    <t>4512790 · Electricity</t>
  </si>
  <si>
    <t>4522790 · Water and Sewage</t>
  </si>
  <si>
    <t>4532790 · Gas</t>
  </si>
  <si>
    <t>4612490 · Printing and Binding</t>
  </si>
  <si>
    <t>4623120 · Contracted Food Serv</t>
  </si>
  <si>
    <t>4832850 · Pupil Trans Other</t>
  </si>
  <si>
    <t>Total 400 · Purchased Services</t>
  </si>
  <si>
    <t>500 · Supplies and Materials</t>
  </si>
  <si>
    <t>5111130 · Instructional Supplies</t>
  </si>
  <si>
    <t>5122490 · Office Supplies</t>
  </si>
  <si>
    <t>5142141 · Nursing Supplies</t>
  </si>
  <si>
    <t>5161190 · Software Instruction</t>
  </si>
  <si>
    <t>5162490 · Software Admin</t>
  </si>
  <si>
    <t>5422222 · Periodicals</t>
  </si>
  <si>
    <t>5603120 · Food Products-Lunch</t>
  </si>
  <si>
    <t>5693120 · Other Food Products</t>
  </si>
  <si>
    <t>5722720 · Buildings Maintenance</t>
  </si>
  <si>
    <t>5812820 · Supplies/Parts for Bus</t>
  </si>
  <si>
    <t>5822820 · Fuel for Bus</t>
  </si>
  <si>
    <t>5892820 · Other Supplies for Bus</t>
  </si>
  <si>
    <t>5902490 · Other Mater. &amp; Suppl.</t>
  </si>
  <si>
    <t>5903290 · Family_Community Supplies</t>
  </si>
  <si>
    <t>Total 500 · Supplies and Materials</t>
  </si>
  <si>
    <t>600 · Capital Outlay</t>
  </si>
  <si>
    <t>6202790 · Buildings</t>
  </si>
  <si>
    <t>Total 600 · Capital Outlay</t>
  </si>
  <si>
    <t>800 · Other Objects</t>
  </si>
  <si>
    <t>8292590 · Interest</t>
  </si>
  <si>
    <t>8412490 · Memberships</t>
  </si>
  <si>
    <t>8432590 · Audit Fees</t>
  </si>
  <si>
    <t>8482590 · Bank Charges</t>
  </si>
  <si>
    <t>8492590 · Other Dues and Fees</t>
  </si>
  <si>
    <t>8512590 · Liability Insurance</t>
  </si>
  <si>
    <t>8532590 · Bond Premiums</t>
  </si>
  <si>
    <t>8592590 · Other Insurance</t>
  </si>
  <si>
    <t>Total 800 · Other Objects</t>
  </si>
  <si>
    <t>Total Expense</t>
  </si>
  <si>
    <t>Net Ordinary Income</t>
  </si>
  <si>
    <t>Net Income</t>
  </si>
  <si>
    <t>1412410 · Class Admin</t>
  </si>
  <si>
    <t>4151131 · Management Fees-Grants</t>
  </si>
  <si>
    <t>4182490 · Professional/Legal Ser</t>
  </si>
  <si>
    <t>Jul 22</t>
  </si>
  <si>
    <t>Aug 22</t>
  </si>
  <si>
    <t>Sep 22</t>
  </si>
  <si>
    <t>Oct 22</t>
  </si>
  <si>
    <t>Nov 22</t>
  </si>
  <si>
    <t>Dec 22</t>
  </si>
  <si>
    <t>Jan 23</t>
  </si>
  <si>
    <t>Feb 23</t>
  </si>
  <si>
    <t>Mar 23</t>
  </si>
  <si>
    <t>Apr 23</t>
  </si>
  <si>
    <t>May 23</t>
  </si>
  <si>
    <t>Jun 23</t>
  </si>
  <si>
    <t>1112411 · 109 Superintendent</t>
  </si>
  <si>
    <t>4132134 · Health Services</t>
  </si>
  <si>
    <t>4132190 · Support Services Pupils</t>
  </si>
  <si>
    <t>other</t>
  </si>
  <si>
    <t>4993290 · Family_Community Purchased Serv</t>
  </si>
  <si>
    <t>5683120 · Candies and Snacks</t>
  </si>
  <si>
    <t>5732790 · Equipment/Furniture</t>
  </si>
  <si>
    <t>8914190 · Academic Extra</t>
  </si>
  <si>
    <t>8914590 · Sports Extra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</si>
</sst>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6" formatCode="#,##0.00;\-#,##0.00"/>
    <numFmt numFmtId="167" formatCode="#,##0.00000_);\(#,##0.00000\)"/>
  </numFmts>
  <fonts count="2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b/>
      <u/>
      <sz val="11"/>
      <name val="Arial"/>
      <family val="2"/>
    </font>
    <font>
      <sz val="9"/>
      <name val="Times New Roman"/>
      <family val="1"/>
    </font>
    <font>
      <b/>
      <sz val="9"/>
      <color rgb="FF0070C0"/>
      <name val="Arial"/>
      <family val="2"/>
    </font>
    <font>
      <b/>
      <sz val="9"/>
      <color theme="1"/>
      <name val="Arial"/>
      <family val="2"/>
    </font>
    <font>
      <b/>
      <sz val="11"/>
      <name val="Calibri"/>
      <family val="2"/>
      <scheme val="minor"/>
    </font>
    <font>
      <sz val="9"/>
      <color theme="1"/>
      <name val="Arial"/>
      <family val="2"/>
    </font>
    <font>
      <sz val="8"/>
      <name val="Calibri"/>
      <family val="2"/>
      <scheme val="minor"/>
    </font>
    <font>
      <b/>
      <sz val="8"/>
      <color rgb="FF000000"/>
      <name val="Arial"/>
      <family val="2"/>
    </font>
    <font>
      <sz val="8"/>
      <color rgb="FF000000"/>
      <name val="Arial"/>
      <family val="2"/>
    </font>
    <font>
      <b/>
      <sz val="10"/>
      <color rgb="FF000000"/>
      <name val="Arial"/>
      <family val="2"/>
    </font>
    <font>
      <sz val="10"/>
      <color theme="1"/>
      <name val="Calibri"/>
      <family val="2"/>
      <scheme val="minor"/>
    </font>
    <font>
      <sz val="10"/>
      <color rgb="FF00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medium">
        <color indexed="64"/>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3" fontId="3" fillId="0" borderId="0" applyFont="0" applyFill="0" applyBorder="0" applyAlignment="0" applyProtection="0"/>
    <xf numFmtId="0" fontId="3" fillId="0" borderId="0"/>
  </cellStyleXfs>
  <cellXfs count="221">
    <xf numFmtId="0" fontId="0" fillId="0" borderId="0" xfId="0"/>
    <xf numFmtId="0" fontId="4" fillId="0" borderId="1" xfId="3" applyFont="1" applyBorder="1" applyAlignment="1" applyProtection="1">
      <alignment vertical="center"/>
      <protection locked="0"/>
    </xf>
    <xf numFmtId="0" fontId="5" fillId="0" borderId="2" xfId="0" applyFont="1" applyBorder="1"/>
    <xf numFmtId="0" fontId="5" fillId="0" borderId="3" xfId="0" applyFont="1" applyBorder="1"/>
    <xf numFmtId="0" fontId="5" fillId="0" borderId="0" xfId="0" applyFont="1"/>
    <xf numFmtId="0" fontId="6" fillId="0" borderId="4" xfId="0" applyFont="1" applyBorder="1" applyAlignment="1" applyProtection="1">
      <alignment vertical="center"/>
      <protection locked="0"/>
    </xf>
    <xf numFmtId="0" fontId="6" fillId="0" borderId="0" xfId="0" applyFont="1"/>
    <xf numFmtId="0" fontId="6" fillId="0" borderId="0" xfId="0" applyFont="1" applyAlignment="1">
      <alignment horizontal="right"/>
    </xf>
    <xf numFmtId="0" fontId="5" fillId="0" borderId="5" xfId="0" applyFont="1" applyBorder="1" applyProtection="1">
      <protection locked="0"/>
    </xf>
    <xf numFmtId="0" fontId="6" fillId="0" borderId="4" xfId="0" applyFont="1" applyBorder="1" applyAlignment="1">
      <alignment vertical="center"/>
    </xf>
    <xf numFmtId="0" fontId="7" fillId="0" borderId="0" xfId="0" applyFont="1" applyAlignment="1">
      <alignment horizontal="right"/>
    </xf>
    <xf numFmtId="0" fontId="7" fillId="0" borderId="0" xfId="0" applyFont="1"/>
    <xf numFmtId="0" fontId="7" fillId="0" borderId="5" xfId="0" applyFont="1" applyBorder="1"/>
    <xf numFmtId="0" fontId="8" fillId="0" borderId="0" xfId="0" applyFont="1"/>
    <xf numFmtId="0" fontId="9" fillId="0" borderId="4" xfId="0" applyFont="1" applyBorder="1"/>
    <xf numFmtId="0" fontId="9" fillId="0" borderId="0" xfId="0" applyFont="1"/>
    <xf numFmtId="0" fontId="7" fillId="0" borderId="0" xfId="0" applyFont="1" applyAlignment="1">
      <alignment horizontal="center"/>
    </xf>
    <xf numFmtId="0" fontId="6" fillId="0" borderId="5" xfId="0" applyFont="1" applyBorder="1" applyAlignment="1">
      <alignment horizontal="center"/>
    </xf>
    <xf numFmtId="0" fontId="5" fillId="0" borderId="4" xfId="0" applyFont="1" applyBorder="1"/>
    <xf numFmtId="0" fontId="6" fillId="3" borderId="6" xfId="0" applyFont="1" applyFill="1" applyBorder="1" applyAlignment="1">
      <alignment horizontal="centerContinuous"/>
    </xf>
    <xf numFmtId="0" fontId="5" fillId="3" borderId="7" xfId="0" applyFont="1" applyFill="1" applyBorder="1" applyAlignment="1">
      <alignment horizontal="centerContinuous"/>
    </xf>
    <xf numFmtId="0" fontId="5" fillId="3" borderId="8" xfId="0" applyFont="1" applyFill="1" applyBorder="1" applyAlignment="1">
      <alignment horizontal="centerContinuous"/>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4"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2" borderId="4" xfId="0" applyFont="1" applyFill="1" applyBorder="1" applyAlignment="1" applyProtection="1">
      <alignment horizontal="center"/>
      <protection locked="0"/>
    </xf>
    <xf numFmtId="0" fontId="5" fillId="2" borderId="0" xfId="0" applyFont="1" applyFill="1" applyAlignment="1" applyProtection="1">
      <alignment horizontal="center"/>
      <protection locked="0"/>
    </xf>
    <xf numFmtId="0" fontId="5" fillId="2" borderId="5" xfId="0" applyFont="1" applyFill="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protection locked="0"/>
    </xf>
    <xf numFmtId="0" fontId="10" fillId="0" borderId="4" xfId="0" applyFont="1" applyBorder="1"/>
    <xf numFmtId="44" fontId="5" fillId="2" borderId="10" xfId="0" applyNumberFormat="1" applyFont="1" applyFill="1" applyBorder="1" applyAlignment="1">
      <alignment horizontal="right"/>
    </xf>
    <xf numFmtId="44" fontId="5" fillId="2" borderId="11" xfId="0" applyNumberFormat="1" applyFont="1" applyFill="1" applyBorder="1" applyAlignment="1">
      <alignment horizontal="right"/>
    </xf>
    <xf numFmtId="44" fontId="5" fillId="0" borderId="9" xfId="0" applyNumberFormat="1" applyFont="1" applyBorder="1" applyAlignment="1">
      <alignment horizontal="right"/>
    </xf>
    <xf numFmtId="44" fontId="5" fillId="0" borderId="10" xfId="0" applyNumberFormat="1" applyFont="1" applyBorder="1" applyAlignment="1">
      <alignment horizontal="right"/>
    </xf>
    <xf numFmtId="44" fontId="5" fillId="0" borderId="11" xfId="0" applyNumberFormat="1" applyFont="1" applyBorder="1" applyAlignment="1">
      <alignment horizontal="right"/>
    </xf>
    <xf numFmtId="42" fontId="5" fillId="2" borderId="11" xfId="0" applyNumberFormat="1" applyFont="1" applyFill="1" applyBorder="1" applyAlignment="1" applyProtection="1">
      <alignment horizontal="right"/>
      <protection locked="0"/>
    </xf>
    <xf numFmtId="42" fontId="5" fillId="0" borderId="9" xfId="0" applyNumberFormat="1" applyFont="1" applyBorder="1" applyAlignment="1" applyProtection="1">
      <alignment horizontal="right"/>
      <protection locked="0"/>
    </xf>
    <xf numFmtId="41" fontId="5" fillId="2" borderId="11" xfId="0" applyNumberFormat="1" applyFont="1" applyFill="1" applyBorder="1" applyAlignment="1" applyProtection="1">
      <alignment horizontal="right"/>
      <protection locked="0"/>
    </xf>
    <xf numFmtId="41" fontId="5" fillId="0" borderId="9" xfId="0" applyNumberFormat="1" applyFont="1" applyBorder="1" applyAlignment="1" applyProtection="1">
      <alignment horizontal="right"/>
      <protection locked="0"/>
    </xf>
    <xf numFmtId="41" fontId="5" fillId="0" borderId="10" xfId="0" applyNumberFormat="1" applyFont="1" applyBorder="1" applyAlignment="1" applyProtection="1">
      <alignment horizontal="right"/>
      <protection locked="0"/>
    </xf>
    <xf numFmtId="41" fontId="5" fillId="0" borderId="11" xfId="0" applyNumberFormat="1" applyFont="1" applyBorder="1" applyAlignment="1" applyProtection="1">
      <alignment horizontal="right"/>
      <protection locked="0"/>
    </xf>
    <xf numFmtId="37" fontId="5" fillId="0" borderId="0" xfId="0" applyNumberFormat="1" applyFont="1"/>
    <xf numFmtId="0" fontId="6" fillId="0" borderId="4" xfId="0" applyFont="1" applyBorder="1"/>
    <xf numFmtId="42" fontId="5" fillId="2" borderId="11" xfId="0" applyNumberFormat="1" applyFont="1" applyFill="1" applyBorder="1" applyAlignment="1">
      <alignment horizontal="right"/>
    </xf>
    <xf numFmtId="42" fontId="5" fillId="0" borderId="9" xfId="0" applyNumberFormat="1" applyFont="1" applyBorder="1" applyAlignment="1">
      <alignment horizontal="right"/>
    </xf>
    <xf numFmtId="42" fontId="5" fillId="0" borderId="10" xfId="0" applyNumberFormat="1" applyFont="1" applyBorder="1" applyAlignment="1">
      <alignment horizontal="right"/>
    </xf>
    <xf numFmtId="42" fontId="5" fillId="0" borderId="11" xfId="0" applyNumberFormat="1" applyFont="1" applyBorder="1" applyAlignment="1">
      <alignment horizontal="right"/>
    </xf>
    <xf numFmtId="42" fontId="5" fillId="2" borderId="11" xfId="2" applyNumberFormat="1" applyFont="1" applyFill="1" applyBorder="1" applyAlignment="1">
      <alignment horizontal="right"/>
    </xf>
    <xf numFmtId="42" fontId="5" fillId="0" borderId="9" xfId="2" applyNumberFormat="1" applyFont="1" applyBorder="1" applyAlignment="1">
      <alignment horizontal="right"/>
    </xf>
    <xf numFmtId="42" fontId="5" fillId="0" borderId="10" xfId="2" applyNumberFormat="1" applyFont="1" applyBorder="1" applyAlignment="1">
      <alignment horizontal="right"/>
    </xf>
    <xf numFmtId="42" fontId="5" fillId="0" borderId="11" xfId="2" applyNumberFormat="1" applyFont="1" applyBorder="1" applyAlignment="1">
      <alignment horizontal="right"/>
    </xf>
    <xf numFmtId="42" fontId="5" fillId="0" borderId="9" xfId="0" applyNumberFormat="1" applyFont="1" applyBorder="1" applyProtection="1">
      <protection locked="0"/>
    </xf>
    <xf numFmtId="41" fontId="5" fillId="0" borderId="9" xfId="0" applyNumberFormat="1" applyFont="1" applyBorder="1" applyProtection="1">
      <protection locked="0"/>
    </xf>
    <xf numFmtId="42" fontId="5" fillId="0" borderId="0" xfId="0" applyNumberFormat="1" applyFont="1"/>
    <xf numFmtId="41" fontId="5" fillId="0" borderId="10" xfId="0" applyNumberFormat="1" applyFont="1" applyBorder="1" applyProtection="1">
      <protection locked="0"/>
    </xf>
    <xf numFmtId="41" fontId="5" fillId="0" borderId="11" xfId="0" applyNumberFormat="1" applyFont="1" applyBorder="1" applyProtection="1">
      <protection locked="0"/>
    </xf>
    <xf numFmtId="37" fontId="5" fillId="0" borderId="0" xfId="2" applyNumberFormat="1" applyFont="1" applyBorder="1" applyAlignment="1">
      <alignment horizontal="center"/>
    </xf>
    <xf numFmtId="42" fontId="5" fillId="0" borderId="9" xfId="2" applyNumberFormat="1" applyFont="1" applyFill="1" applyBorder="1" applyAlignment="1">
      <alignment horizontal="right"/>
    </xf>
    <xf numFmtId="42" fontId="5" fillId="0" borderId="10" xfId="2" applyNumberFormat="1" applyFont="1" applyFill="1" applyBorder="1" applyAlignment="1">
      <alignment horizontal="right"/>
    </xf>
    <xf numFmtId="42" fontId="5" fillId="0" borderId="11" xfId="2" applyNumberFormat="1" applyFont="1" applyFill="1" applyBorder="1" applyAlignment="1">
      <alignment horizontal="right"/>
    </xf>
    <xf numFmtId="42" fontId="5" fillId="2" borderId="11" xfId="0" applyNumberFormat="1" applyFont="1" applyFill="1" applyBorder="1"/>
    <xf numFmtId="42" fontId="5" fillId="0" borderId="9" xfId="0" applyNumberFormat="1" applyFont="1" applyBorder="1"/>
    <xf numFmtId="42" fontId="5" fillId="0" borderId="10" xfId="0" applyNumberFormat="1" applyFont="1" applyBorder="1"/>
    <xf numFmtId="42" fontId="5" fillId="0" borderId="11" xfId="0" applyNumberFormat="1" applyFont="1" applyBorder="1"/>
    <xf numFmtId="42" fontId="5" fillId="2" borderId="12" xfId="0" applyNumberFormat="1" applyFont="1" applyFill="1" applyBorder="1"/>
    <xf numFmtId="42" fontId="5" fillId="0" borderId="13" xfId="0" applyNumberFormat="1" applyFont="1" applyBorder="1"/>
    <xf numFmtId="42" fontId="5" fillId="0" borderId="14" xfId="0" applyNumberFormat="1" applyFont="1" applyBorder="1"/>
    <xf numFmtId="42" fontId="5" fillId="0" borderId="12" xfId="0" applyNumberFormat="1" applyFont="1" applyBorder="1"/>
    <xf numFmtId="42" fontId="5" fillId="2" borderId="0" xfId="0" applyNumberFormat="1" applyFont="1" applyFill="1"/>
    <xf numFmtId="42" fontId="5" fillId="2" borderId="0" xfId="4" applyNumberFormat="1" applyFont="1" applyFill="1" applyBorder="1" applyAlignment="1">
      <alignment horizontal="center"/>
    </xf>
    <xf numFmtId="42" fontId="5" fillId="0" borderId="0" xfId="4" applyNumberFormat="1" applyFont="1" applyFill="1" applyBorder="1" applyAlignment="1">
      <alignment horizontal="center"/>
    </xf>
    <xf numFmtId="37" fontId="5" fillId="0" borderId="0" xfId="4" applyNumberFormat="1" applyFont="1" applyFill="1" applyBorder="1" applyAlignment="1">
      <alignment horizontal="center"/>
    </xf>
    <xf numFmtId="5" fontId="5" fillId="0" borderId="0" xfId="0" applyNumberFormat="1" applyFont="1"/>
    <xf numFmtId="0" fontId="11" fillId="0" borderId="4" xfId="0" applyFont="1" applyBorder="1"/>
    <xf numFmtId="0" fontId="12" fillId="0" borderId="0" xfId="0" applyFont="1"/>
    <xf numFmtId="1" fontId="5" fillId="2" borderId="11" xfId="0" applyNumberFormat="1" applyFont="1" applyFill="1" applyBorder="1" applyAlignment="1" applyProtection="1">
      <alignment horizontal="right" indent="1"/>
      <protection locked="0"/>
    </xf>
    <xf numFmtId="1" fontId="5" fillId="2" borderId="12" xfId="0" applyNumberFormat="1" applyFont="1" applyFill="1" applyBorder="1" applyAlignment="1" applyProtection="1">
      <alignment horizontal="right" indent="1"/>
      <protection locked="0"/>
    </xf>
    <xf numFmtId="0" fontId="5" fillId="2" borderId="4" xfId="0" applyFont="1" applyFill="1" applyBorder="1" applyAlignment="1">
      <alignment horizontal="right" indent="1"/>
    </xf>
    <xf numFmtId="2" fontId="5" fillId="2" borderId="0" xfId="0" applyNumberFormat="1" applyFont="1" applyFill="1" applyAlignment="1">
      <alignment horizontal="right" indent="1"/>
    </xf>
    <xf numFmtId="2" fontId="5" fillId="0" borderId="0" xfId="0" applyNumberFormat="1" applyFont="1" applyAlignment="1">
      <alignment horizontal="right" indent="1"/>
    </xf>
    <xf numFmtId="0" fontId="5" fillId="0" borderId="0" xfId="0" applyFont="1" applyAlignment="1">
      <alignment horizontal="right" indent="1"/>
    </xf>
    <xf numFmtId="0" fontId="5" fillId="0" borderId="5" xfId="0" applyFont="1" applyBorder="1" applyAlignment="1">
      <alignment horizontal="right" indent="1"/>
    </xf>
    <xf numFmtId="164" fontId="5" fillId="2" borderId="15" xfId="0" applyNumberFormat="1" applyFont="1" applyFill="1" applyBorder="1" applyAlignment="1" applyProtection="1">
      <alignment horizontal="right" indent="1"/>
      <protection locked="0"/>
    </xf>
    <xf numFmtId="164" fontId="5" fillId="0" borderId="16" xfId="0" applyNumberFormat="1" applyFont="1" applyBorder="1" applyAlignment="1" applyProtection="1">
      <alignment horizontal="right" indent="1"/>
      <protection locked="0"/>
    </xf>
    <xf numFmtId="164" fontId="5" fillId="2" borderId="11" xfId="0" applyNumberFormat="1" applyFont="1" applyFill="1" applyBorder="1" applyAlignment="1" applyProtection="1">
      <alignment horizontal="right" indent="1"/>
      <protection locked="0"/>
    </xf>
    <xf numFmtId="164" fontId="5" fillId="0" borderId="17" xfId="0" applyNumberFormat="1" applyFont="1" applyBorder="1" applyAlignment="1" applyProtection="1">
      <alignment horizontal="right" indent="1"/>
      <protection locked="0"/>
    </xf>
    <xf numFmtId="164" fontId="5" fillId="0" borderId="10" xfId="0" applyNumberFormat="1" applyFont="1" applyBorder="1" applyAlignment="1" applyProtection="1">
      <alignment horizontal="right" indent="1"/>
      <protection locked="0"/>
    </xf>
    <xf numFmtId="164" fontId="5" fillId="0" borderId="11" xfId="0" applyNumberFormat="1" applyFont="1" applyBorder="1" applyAlignment="1" applyProtection="1">
      <alignment horizontal="right" indent="1"/>
      <protection locked="0"/>
    </xf>
    <xf numFmtId="164" fontId="5" fillId="2" borderId="12" xfId="0" applyNumberFormat="1" applyFont="1" applyFill="1" applyBorder="1" applyAlignment="1">
      <alignment horizontal="right"/>
    </xf>
    <xf numFmtId="164" fontId="5" fillId="0" borderId="18" xfId="0" applyNumberFormat="1" applyFont="1" applyBorder="1" applyAlignment="1">
      <alignment horizontal="right"/>
    </xf>
    <xf numFmtId="0" fontId="13" fillId="0" borderId="4" xfId="0" applyFont="1" applyBorder="1"/>
    <xf numFmtId="44" fontId="5" fillId="2" borderId="4" xfId="0" applyNumberFormat="1" applyFont="1" applyFill="1" applyBorder="1" applyAlignment="1">
      <alignment horizontal="right"/>
    </xf>
    <xf numFmtId="0" fontId="5" fillId="2" borderId="0" xfId="0" applyFont="1" applyFill="1" applyAlignment="1">
      <alignment horizontal="right"/>
    </xf>
    <xf numFmtId="0" fontId="5" fillId="0" borderId="0" xfId="0" applyFont="1" applyAlignment="1">
      <alignment horizontal="right"/>
    </xf>
    <xf numFmtId="0" fontId="5" fillId="0" borderId="5" xfId="0" applyFont="1" applyBorder="1" applyAlignment="1">
      <alignment horizontal="right"/>
    </xf>
    <xf numFmtId="0" fontId="10" fillId="0" borderId="4" xfId="5" applyFont="1" applyBorder="1"/>
    <xf numFmtId="0" fontId="5" fillId="2" borderId="4" xfId="0" applyFont="1" applyFill="1" applyBorder="1" applyAlignment="1">
      <alignment horizontal="right"/>
    </xf>
    <xf numFmtId="44" fontId="5" fillId="0" borderId="0" xfId="0" applyNumberFormat="1" applyFont="1" applyAlignment="1">
      <alignment horizontal="right"/>
    </xf>
    <xf numFmtId="0" fontId="5" fillId="2" borderId="4" xfId="0" applyFont="1" applyFill="1" applyBorder="1"/>
    <xf numFmtId="0" fontId="5" fillId="2" borderId="0" xfId="0" applyFont="1" applyFill="1"/>
    <xf numFmtId="44" fontId="5" fillId="0" borderId="0" xfId="0" applyNumberFormat="1" applyFont="1"/>
    <xf numFmtId="42" fontId="5" fillId="2" borderId="19" xfId="0" applyNumberFormat="1" applyFont="1" applyFill="1" applyBorder="1"/>
    <xf numFmtId="42" fontId="5" fillId="2" borderId="20" xfId="0" applyNumberFormat="1" applyFont="1" applyFill="1" applyBorder="1"/>
    <xf numFmtId="42" fontId="5" fillId="2" borderId="15" xfId="0" applyNumberFormat="1" applyFont="1" applyFill="1" applyBorder="1"/>
    <xf numFmtId="42" fontId="5" fillId="0" borderId="16" xfId="0" applyNumberFormat="1" applyFont="1" applyBorder="1"/>
    <xf numFmtId="42" fontId="5" fillId="0" borderId="20" xfId="0" applyNumberFormat="1" applyFont="1" applyBorder="1"/>
    <xf numFmtId="42" fontId="5" fillId="0" borderId="15" xfId="0" applyNumberFormat="1" applyFont="1" applyBorder="1"/>
    <xf numFmtId="2" fontId="5" fillId="2" borderId="9" xfId="0" applyNumberFormat="1" applyFont="1" applyFill="1" applyBorder="1" applyAlignment="1">
      <alignment horizontal="right" indent="1"/>
    </xf>
    <xf numFmtId="2" fontId="5" fillId="2" borderId="10" xfId="0" applyNumberFormat="1" applyFont="1" applyFill="1" applyBorder="1" applyAlignment="1">
      <alignment horizontal="right" indent="1"/>
    </xf>
    <xf numFmtId="2" fontId="5" fillId="2" borderId="11" xfId="0" applyNumberFormat="1" applyFont="1" applyFill="1" applyBorder="1" applyAlignment="1">
      <alignment horizontal="right" indent="1"/>
    </xf>
    <xf numFmtId="2" fontId="5" fillId="0" borderId="17" xfId="0" applyNumberFormat="1" applyFont="1" applyBorder="1" applyAlignment="1">
      <alignment horizontal="right" indent="1"/>
    </xf>
    <xf numFmtId="2" fontId="5" fillId="0" borderId="10" xfId="0" applyNumberFormat="1" applyFont="1" applyBorder="1" applyAlignment="1">
      <alignment horizontal="right" indent="1"/>
    </xf>
    <xf numFmtId="2" fontId="5" fillId="0" borderId="11" xfId="0" applyNumberFormat="1" applyFont="1" applyBorder="1" applyAlignment="1">
      <alignment horizontal="right" indent="1"/>
    </xf>
    <xf numFmtId="10" fontId="5" fillId="2" borderId="9" xfId="0" applyNumberFormat="1" applyFont="1" applyFill="1" applyBorder="1" applyAlignment="1">
      <alignment horizontal="right" indent="1"/>
    </xf>
    <xf numFmtId="10" fontId="5" fillId="2" borderId="10" xfId="0" applyNumberFormat="1" applyFont="1" applyFill="1" applyBorder="1" applyAlignment="1">
      <alignment horizontal="right" indent="1"/>
    </xf>
    <xf numFmtId="10" fontId="5" fillId="2" borderId="11" xfId="0" applyNumberFormat="1" applyFont="1" applyFill="1" applyBorder="1" applyAlignment="1">
      <alignment horizontal="right" indent="1"/>
    </xf>
    <xf numFmtId="10" fontId="5" fillId="0" borderId="17" xfId="0" applyNumberFormat="1" applyFont="1" applyBorder="1" applyAlignment="1">
      <alignment horizontal="right" indent="1"/>
    </xf>
    <xf numFmtId="10" fontId="5" fillId="0" borderId="10" xfId="0" applyNumberFormat="1" applyFont="1" applyBorder="1" applyAlignment="1">
      <alignment horizontal="right" indent="1"/>
    </xf>
    <xf numFmtId="10" fontId="5" fillId="0" borderId="11" xfId="0" applyNumberFormat="1" applyFont="1" applyBorder="1" applyAlignment="1">
      <alignment horizontal="right" indent="1"/>
    </xf>
    <xf numFmtId="0" fontId="5" fillId="0" borderId="21" xfId="0" applyFont="1" applyBorder="1"/>
    <xf numFmtId="2" fontId="5" fillId="2" borderId="13" xfId="0" applyNumberFormat="1" applyFont="1" applyFill="1" applyBorder="1" applyAlignment="1">
      <alignment horizontal="right" indent="1"/>
    </xf>
    <xf numFmtId="2" fontId="5" fillId="2" borderId="14" xfId="0" applyNumberFormat="1" applyFont="1" applyFill="1" applyBorder="1" applyAlignment="1">
      <alignment horizontal="right" indent="1"/>
    </xf>
    <xf numFmtId="2" fontId="5" fillId="2" borderId="12" xfId="0" applyNumberFormat="1" applyFont="1" applyFill="1" applyBorder="1" applyAlignment="1">
      <alignment horizontal="right" indent="1"/>
    </xf>
    <xf numFmtId="2" fontId="5" fillId="0" borderId="18" xfId="0" applyNumberFormat="1" applyFont="1" applyBorder="1" applyAlignment="1">
      <alignment horizontal="right" indent="1"/>
    </xf>
    <xf numFmtId="2" fontId="5" fillId="0" borderId="14" xfId="0" applyNumberFormat="1" applyFont="1" applyBorder="1" applyAlignment="1">
      <alignment horizontal="right" indent="1"/>
    </xf>
    <xf numFmtId="2" fontId="5" fillId="0" borderId="12" xfId="0" applyNumberFormat="1" applyFont="1" applyBorder="1" applyAlignment="1">
      <alignment horizontal="right" indent="1"/>
    </xf>
    <xf numFmtId="0" fontId="10" fillId="0" borderId="0" xfId="0" applyFont="1"/>
    <xf numFmtId="0" fontId="5" fillId="0" borderId="0" xfId="0" applyFont="1" applyProtection="1">
      <protection locked="0"/>
    </xf>
    <xf numFmtId="0" fontId="14" fillId="0" borderId="0" xfId="0" applyFont="1" applyAlignment="1">
      <alignment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0" xfId="0" applyFont="1" applyAlignment="1">
      <alignment horizontal="center" vertical="center"/>
    </xf>
    <xf numFmtId="0" fontId="0" fillId="0" borderId="9" xfId="0" applyBorder="1" applyAlignment="1">
      <alignment vertical="center" wrapText="1"/>
    </xf>
    <xf numFmtId="44" fontId="0" fillId="0" borderId="10" xfId="0" applyNumberFormat="1" applyBorder="1" applyAlignment="1">
      <alignment vertical="center" wrapText="1"/>
    </xf>
    <xf numFmtId="0" fontId="5" fillId="0" borderId="11" xfId="0" applyFont="1" applyBorder="1" applyAlignment="1">
      <alignment horizontal="center"/>
    </xf>
    <xf numFmtId="0" fontId="16" fillId="0" borderId="0" xfId="0" applyFont="1" applyAlignment="1">
      <alignment vertical="center" wrapText="1"/>
    </xf>
    <xf numFmtId="44" fontId="16" fillId="0" borderId="0" xfId="0" applyNumberFormat="1" applyFont="1" applyAlignment="1">
      <alignment vertical="center"/>
    </xf>
    <xf numFmtId="0" fontId="0" fillId="4" borderId="9" xfId="0" applyFill="1" applyBorder="1" applyAlignment="1">
      <alignment vertical="center" wrapText="1"/>
    </xf>
    <xf numFmtId="164" fontId="0" fillId="4" borderId="10" xfId="0" applyNumberFormat="1" applyFill="1" applyBorder="1" applyAlignment="1">
      <alignment vertical="center" wrapText="1"/>
    </xf>
    <xf numFmtId="44" fontId="0" fillId="4" borderId="10" xfId="0" applyNumberFormat="1" applyFill="1" applyBorder="1" applyAlignment="1">
      <alignment vertical="center" wrapText="1"/>
    </xf>
    <xf numFmtId="0" fontId="5" fillId="4" borderId="11" xfId="0" applyFont="1" applyFill="1" applyBorder="1" applyAlignment="1">
      <alignment horizontal="center" wrapText="1"/>
    </xf>
    <xf numFmtId="164" fontId="0" fillId="0" borderId="10" xfId="0" applyNumberFormat="1" applyBorder="1" applyAlignment="1">
      <alignment vertical="center" wrapText="1"/>
    </xf>
    <xf numFmtId="0" fontId="5" fillId="4" borderId="11" xfId="0" applyFont="1" applyFill="1" applyBorder="1" applyAlignment="1">
      <alignment horizontal="center"/>
    </xf>
    <xf numFmtId="0" fontId="0" fillId="0" borderId="25" xfId="0" applyBorder="1" applyAlignment="1">
      <alignment vertical="center" wrapText="1"/>
    </xf>
    <xf numFmtId="164" fontId="0" fillId="0" borderId="26" xfId="0" applyNumberFormat="1" applyBorder="1" applyAlignment="1">
      <alignment vertical="center" wrapText="1"/>
    </xf>
    <xf numFmtId="44" fontId="0" fillId="0" borderId="26" xfId="0" applyNumberFormat="1" applyBorder="1" applyAlignment="1">
      <alignment vertical="center" wrapText="1"/>
    </xf>
    <xf numFmtId="0" fontId="5" fillId="0" borderId="27" xfId="0" applyFont="1" applyBorder="1" applyAlignment="1">
      <alignment horizontal="center"/>
    </xf>
    <xf numFmtId="0" fontId="0" fillId="0" borderId="6" xfId="0" applyBorder="1" applyAlignment="1">
      <alignment vertical="center" wrapText="1"/>
    </xf>
    <xf numFmtId="164" fontId="0" fillId="0" borderId="7" xfId="0" applyNumberFormat="1" applyBorder="1" applyAlignment="1">
      <alignment vertical="center" wrapText="1"/>
    </xf>
    <xf numFmtId="44" fontId="0" fillId="0" borderId="7" xfId="0" applyNumberFormat="1" applyBorder="1" applyAlignment="1">
      <alignment vertical="center" wrapText="1"/>
    </xf>
    <xf numFmtId="0" fontId="5" fillId="0" borderId="8" xfId="0" applyFont="1" applyBorder="1" applyAlignment="1">
      <alignment horizontal="center"/>
    </xf>
    <xf numFmtId="0" fontId="0" fillId="0" borderId="28" xfId="0" applyBorder="1" applyAlignment="1">
      <alignment vertical="center" wrapText="1"/>
    </xf>
    <xf numFmtId="164" fontId="0" fillId="0" borderId="29" xfId="0" applyNumberFormat="1" applyBorder="1" applyAlignment="1">
      <alignment vertical="center" wrapText="1"/>
    </xf>
    <xf numFmtId="44" fontId="0" fillId="0" borderId="29" xfId="0" applyNumberFormat="1" applyBorder="1" applyAlignment="1">
      <alignment vertical="center" wrapText="1"/>
    </xf>
    <xf numFmtId="0" fontId="6" fillId="0" borderId="0" xfId="0" applyFont="1" applyAlignment="1">
      <alignment horizontal="center"/>
    </xf>
    <xf numFmtId="43" fontId="5" fillId="0" borderId="0" xfId="1" applyFont="1"/>
    <xf numFmtId="164" fontId="16" fillId="0" borderId="11" xfId="0" applyNumberFormat="1" applyFont="1" applyBorder="1" applyAlignment="1">
      <alignment horizontal="right" vertical="center"/>
    </xf>
    <xf numFmtId="0" fontId="5" fillId="0" borderId="0" xfId="0" applyFont="1" applyAlignment="1" applyProtection="1">
      <alignment horizontal="left" vertical="center"/>
      <protection locked="0"/>
    </xf>
    <xf numFmtId="43" fontId="5" fillId="0" borderId="0" xfId="0" applyNumberFormat="1" applyFont="1"/>
    <xf numFmtId="49" fontId="18" fillId="0" borderId="0" xfId="0" applyNumberFormat="1" applyFont="1"/>
    <xf numFmtId="166" fontId="19" fillId="0" borderId="0" xfId="0" applyNumberFormat="1" applyFont="1"/>
    <xf numFmtId="49" fontId="19" fillId="0" borderId="0" xfId="0" applyNumberFormat="1" applyFont="1"/>
    <xf numFmtId="166" fontId="19" fillId="0" borderId="31" xfId="0" applyNumberFormat="1" applyFont="1" applyBorder="1"/>
    <xf numFmtId="166" fontId="19" fillId="0" borderId="7" xfId="0" applyNumberFormat="1" applyFont="1" applyBorder="1"/>
    <xf numFmtId="166" fontId="19" fillId="0" borderId="2" xfId="0" applyNumberFormat="1" applyFont="1" applyBorder="1"/>
    <xf numFmtId="166" fontId="18" fillId="0" borderId="32" xfId="0" applyNumberFormat="1" applyFont="1" applyBorder="1"/>
    <xf numFmtId="0" fontId="18" fillId="0" borderId="0" xfId="0" applyFont="1"/>
    <xf numFmtId="49" fontId="18" fillId="0" borderId="0" xfId="0" applyNumberFormat="1" applyFont="1" applyAlignment="1">
      <alignment horizontal="center"/>
    </xf>
    <xf numFmtId="49" fontId="18" fillId="0" borderId="30" xfId="0" applyNumberFormat="1" applyFont="1" applyBorder="1" applyAlignment="1">
      <alignment horizontal="center"/>
    </xf>
    <xf numFmtId="49" fontId="0" fillId="0" borderId="0" xfId="0" applyNumberFormat="1" applyAlignment="1">
      <alignment horizontal="center"/>
    </xf>
    <xf numFmtId="0" fontId="0" fillId="0" borderId="0" xfId="0" applyAlignment="1">
      <alignment horizontal="center"/>
    </xf>
    <xf numFmtId="9" fontId="0" fillId="0" borderId="0" xfId="0" applyNumberFormat="1"/>
    <xf numFmtId="166" fontId="19" fillId="3" borderId="0" xfId="0" applyNumberFormat="1" applyFont="1" applyFill="1"/>
    <xf numFmtId="49" fontId="19" fillId="3" borderId="0" xfId="0" applyNumberFormat="1" applyFont="1" applyFill="1"/>
    <xf numFmtId="0" fontId="0" fillId="3" borderId="0" xfId="0" applyFill="1"/>
    <xf numFmtId="39" fontId="0" fillId="0" borderId="0" xfId="0" applyNumberFormat="1"/>
    <xf numFmtId="39" fontId="5" fillId="2" borderId="0" xfId="0" applyNumberFormat="1" applyFont="1" applyFill="1" applyAlignment="1">
      <alignment horizontal="right"/>
    </xf>
    <xf numFmtId="49" fontId="20" fillId="0" borderId="0" xfId="0" applyNumberFormat="1" applyFont="1" applyAlignment="1">
      <alignment horizontal="center"/>
    </xf>
    <xf numFmtId="49" fontId="20" fillId="0" borderId="30" xfId="0" applyNumberFormat="1" applyFont="1" applyBorder="1" applyAlignment="1">
      <alignment horizontal="center"/>
    </xf>
    <xf numFmtId="49" fontId="21" fillId="0" borderId="0" xfId="0" applyNumberFormat="1" applyFont="1" applyAlignment="1">
      <alignment horizontal="center"/>
    </xf>
    <xf numFmtId="0" fontId="21" fillId="0" borderId="0" xfId="0" applyFont="1" applyAlignment="1">
      <alignment horizontal="center"/>
    </xf>
    <xf numFmtId="49" fontId="20" fillId="0" borderId="0" xfId="0" applyNumberFormat="1" applyFont="1"/>
    <xf numFmtId="166" fontId="22" fillId="0" borderId="0" xfId="0" applyNumberFormat="1" applyFont="1"/>
    <xf numFmtId="49" fontId="22" fillId="0" borderId="0" xfId="0" applyNumberFormat="1" applyFont="1"/>
    <xf numFmtId="0" fontId="21" fillId="0" borderId="0" xfId="0" applyFont="1"/>
    <xf numFmtId="166" fontId="22" fillId="0" borderId="31" xfId="0" applyNumberFormat="1" applyFont="1" applyBorder="1"/>
    <xf numFmtId="166" fontId="22" fillId="0" borderId="7" xfId="0" applyNumberFormat="1" applyFont="1" applyBorder="1"/>
    <xf numFmtId="166" fontId="22" fillId="0" borderId="2" xfId="0" applyNumberFormat="1" applyFont="1" applyBorder="1"/>
    <xf numFmtId="166" fontId="20" fillId="0" borderId="32" xfId="0" applyNumberFormat="1" applyFont="1" applyBorder="1"/>
    <xf numFmtId="0" fontId="20" fillId="0" borderId="0" xfId="0" applyFont="1"/>
    <xf numFmtId="166" fontId="21" fillId="0" borderId="0" xfId="0" applyNumberFormat="1" applyFont="1"/>
    <xf numFmtId="167" fontId="21" fillId="0" borderId="0" xfId="0" applyNumberFormat="1" applyFont="1"/>
    <xf numFmtId="0" fontId="16" fillId="0" borderId="0" xfId="0" applyFont="1" applyAlignment="1">
      <alignment horizontal="center" vertical="center" wrapText="1"/>
    </xf>
    <xf numFmtId="44" fontId="16" fillId="0" borderId="0" xfId="0" applyNumberFormat="1" applyFont="1" applyAlignment="1">
      <alignment horizontal="center" vertical="center"/>
    </xf>
    <xf numFmtId="0" fontId="7" fillId="0" borderId="0" xfId="0" applyFont="1" applyAlignment="1">
      <alignment horizontal="left"/>
    </xf>
    <xf numFmtId="0" fontId="7" fillId="0" borderId="0" xfId="0" applyFont="1" applyAlignment="1">
      <alignment horizontal="center"/>
    </xf>
    <xf numFmtId="0" fontId="3" fillId="0" borderId="4"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5" xfId="0" applyFont="1" applyBorder="1" applyAlignment="1" applyProtection="1">
      <alignment horizontal="center"/>
      <protection locked="0"/>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5" fillId="0" borderId="0" xfId="0" applyFont="1" applyAlignment="1">
      <alignment horizontal="left" wrapText="1"/>
    </xf>
    <xf numFmtId="0" fontId="5" fillId="0" borderId="0" xfId="0" applyFont="1" applyAlignment="1" applyProtection="1">
      <alignment horizontal="left" vertical="center"/>
      <protection locked="0"/>
    </xf>
  </cellXfs>
  <cellStyles count="6">
    <cellStyle name="Comma" xfId="1" builtinId="3"/>
    <cellStyle name="Comma0" xfId="4" xr:uid="{00000000-0005-0000-0000-000001000000}"/>
    <cellStyle name="Currency" xfId="2" builtinId="4"/>
    <cellStyle name="Normal" xfId="0" builtinId="0"/>
    <cellStyle name="Normal 2" xfId="3" xr:uid="{00000000-0005-0000-0000-000004000000}"/>
    <cellStyle name="Normal 6"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38100</xdr:rowOff>
        </xdr:to>
        <xdr:sp macro="" textlink="">
          <xdr:nvSpPr>
            <xdr:cNvPr id="2049" name="FILTER"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38100</xdr:rowOff>
        </xdr:to>
        <xdr:sp macro="" textlink="">
          <xdr:nvSpPr>
            <xdr:cNvPr id="2050" name="HEADER"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38100</xdr:rowOff>
        </xdr:to>
        <xdr:sp macro="" textlink="">
          <xdr:nvSpPr>
            <xdr:cNvPr id="1025" name="FILTER"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38100</xdr:rowOff>
        </xdr:to>
        <xdr:sp macro="" textlink="">
          <xdr:nvSpPr>
            <xdr:cNvPr id="1026" name="HEADER"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35"/>
  <sheetViews>
    <sheetView tabSelected="1" topLeftCell="A113" zoomScaleNormal="100" workbookViewId="0">
      <selection activeCell="E39" sqref="E39"/>
    </sheetView>
  </sheetViews>
  <sheetFormatPr defaultColWidth="9.28515625" defaultRowHeight="11.45"/>
  <cols>
    <col min="1" max="1" width="48.5703125" style="4" customWidth="1"/>
    <col min="2" max="5" width="13.28515625" style="4" customWidth="1"/>
    <col min="6" max="6" width="15.28515625" style="4" customWidth="1"/>
    <col min="7" max="8" width="13.28515625" style="4" customWidth="1"/>
    <col min="9" max="9" width="11" style="4" bestFit="1" customWidth="1"/>
    <col min="10" max="11" width="9.28515625" style="4"/>
    <col min="12" max="12" width="11.7109375" style="4" bestFit="1" customWidth="1"/>
    <col min="13" max="13" width="11" style="4" bestFit="1" customWidth="1"/>
    <col min="14" max="17" width="0" style="4" hidden="1" customWidth="1"/>
    <col min="18" max="16384" width="9.28515625" style="4"/>
  </cols>
  <sheetData>
    <row r="1" spans="1:17" ht="13.9">
      <c r="A1" s="1" t="s">
        <v>0</v>
      </c>
      <c r="B1" s="2"/>
      <c r="C1" s="2"/>
      <c r="D1" s="2"/>
      <c r="E1" s="2"/>
      <c r="F1" s="2"/>
      <c r="G1" s="2"/>
      <c r="H1" s="2"/>
      <c r="I1" s="3"/>
    </row>
    <row r="2" spans="1:17" ht="12">
      <c r="A2" s="5" t="s">
        <v>1</v>
      </c>
      <c r="B2" s="6"/>
      <c r="C2" s="6"/>
      <c r="D2" s="6"/>
      <c r="H2" s="7" t="s">
        <v>2</v>
      </c>
      <c r="I2" s="8" t="s">
        <v>3</v>
      </c>
    </row>
    <row r="3" spans="1:17" s="13" customFormat="1" ht="13.9">
      <c r="A3" s="9" t="s">
        <v>4</v>
      </c>
      <c r="B3" s="10"/>
      <c r="C3" s="202"/>
      <c r="D3" s="202"/>
      <c r="E3" s="202"/>
      <c r="F3" s="202"/>
      <c r="G3" s="11"/>
      <c r="H3" s="11"/>
      <c r="I3" s="12"/>
    </row>
    <row r="4" spans="1:17" s="13" customFormat="1" ht="13.9">
      <c r="A4" s="9" t="s">
        <v>5</v>
      </c>
      <c r="B4" s="10" t="s">
        <v>6</v>
      </c>
      <c r="C4" s="203" t="s">
        <v>7</v>
      </c>
      <c r="D4" s="203"/>
      <c r="E4" s="203"/>
      <c r="F4" s="203"/>
      <c r="G4" s="11"/>
      <c r="H4" s="11"/>
      <c r="I4" s="12"/>
    </row>
    <row r="5" spans="1:17" s="13" customFormat="1" ht="13.9">
      <c r="A5" s="204" t="s">
        <v>8</v>
      </c>
      <c r="B5" s="205"/>
      <c r="C5" s="205"/>
      <c r="D5" s="205"/>
      <c r="E5" s="205"/>
      <c r="F5" s="205"/>
      <c r="G5" s="205"/>
      <c r="H5" s="205"/>
      <c r="I5" s="206"/>
    </row>
    <row r="6" spans="1:17" s="13" customFormat="1" ht="13.9">
      <c r="A6" s="204" t="s">
        <v>9</v>
      </c>
      <c r="B6" s="205"/>
      <c r="C6" s="205"/>
      <c r="D6" s="205"/>
      <c r="E6" s="205"/>
      <c r="F6" s="205"/>
      <c r="G6" s="205"/>
      <c r="H6" s="205"/>
      <c r="I6" s="206"/>
    </row>
    <row r="7" spans="1:17" s="13" customFormat="1" ht="13.9">
      <c r="A7" s="204" t="s">
        <v>10</v>
      </c>
      <c r="B7" s="205"/>
      <c r="C7" s="205"/>
      <c r="D7" s="205"/>
      <c r="E7" s="205"/>
      <c r="F7" s="205"/>
      <c r="G7" s="205"/>
      <c r="H7" s="205"/>
      <c r="I7" s="206"/>
    </row>
    <row r="8" spans="1:17" ht="13.9" thickBot="1">
      <c r="A8" s="14"/>
      <c r="B8" s="15"/>
      <c r="C8" s="15"/>
      <c r="D8" s="15"/>
      <c r="E8" s="16"/>
      <c r="F8" s="16"/>
      <c r="G8" s="16"/>
      <c r="H8" s="16"/>
      <c r="I8" s="17"/>
    </row>
    <row r="9" spans="1:17" ht="13.5" customHeight="1" thickBot="1">
      <c r="A9" s="18"/>
      <c r="B9" s="207" t="s">
        <v>11</v>
      </c>
      <c r="C9" s="208"/>
      <c r="D9" s="209"/>
      <c r="E9" s="19" t="s">
        <v>12</v>
      </c>
      <c r="F9" s="20"/>
      <c r="G9" s="20"/>
      <c r="H9" s="20"/>
      <c r="I9" s="21"/>
    </row>
    <row r="10" spans="1:17">
      <c r="A10" s="18"/>
      <c r="B10" s="23" t="s">
        <v>13</v>
      </c>
      <c r="C10" s="24" t="s">
        <v>13</v>
      </c>
      <c r="D10" s="24" t="s">
        <v>13</v>
      </c>
      <c r="E10" s="25" t="s">
        <v>13</v>
      </c>
      <c r="F10" s="26" t="s">
        <v>13</v>
      </c>
      <c r="G10" s="26" t="s">
        <v>13</v>
      </c>
      <c r="H10" s="26" t="s">
        <v>13</v>
      </c>
      <c r="I10" s="27" t="s">
        <v>13</v>
      </c>
    </row>
    <row r="11" spans="1:17">
      <c r="A11" s="18"/>
      <c r="B11" s="29">
        <v>2022</v>
      </c>
      <c r="C11" s="30">
        <v>2023</v>
      </c>
      <c r="D11" s="30">
        <v>2024</v>
      </c>
      <c r="E11" s="31">
        <v>2025</v>
      </c>
      <c r="F11" s="32">
        <v>2026</v>
      </c>
      <c r="G11" s="33">
        <v>2027</v>
      </c>
      <c r="H11" s="33">
        <v>2028</v>
      </c>
      <c r="I11" s="34">
        <v>2029</v>
      </c>
      <c r="N11" s="4">
        <v>1940000</v>
      </c>
      <c r="O11" s="4">
        <v>250</v>
      </c>
      <c r="P11" s="4">
        <v>7185</v>
      </c>
      <c r="Q11" s="4">
        <f>+O11*P11</f>
        <v>1796250</v>
      </c>
    </row>
    <row r="12" spans="1:17" ht="12">
      <c r="A12" s="35" t="s">
        <v>14</v>
      </c>
      <c r="B12" s="36"/>
      <c r="C12" s="37"/>
      <c r="D12" s="37"/>
      <c r="E12" s="38"/>
      <c r="F12" s="39"/>
      <c r="G12" s="39"/>
      <c r="H12" s="39"/>
      <c r="I12" s="40"/>
      <c r="O12" s="4">
        <v>300</v>
      </c>
      <c r="P12" s="4">
        <v>7185.11</v>
      </c>
      <c r="Q12" s="4">
        <f>+O12*P12</f>
        <v>2155533</v>
      </c>
    </row>
    <row r="13" spans="1:17">
      <c r="A13" s="18" t="s">
        <v>15</v>
      </c>
      <c r="B13" s="41">
        <v>1531655.31</v>
      </c>
      <c r="C13" s="41">
        <f>+'FY 23'!AE10+'FY 23'!AE15</f>
        <v>1830615.17</v>
      </c>
      <c r="D13" s="41">
        <v>1316076.8799999999</v>
      </c>
      <c r="E13" s="42">
        <f>1138939.76+99395.76+81846.7-50125.05</f>
        <v>1270057.17</v>
      </c>
      <c r="F13" s="42">
        <f>+E13*1.03</f>
        <v>1308158.8851000001</v>
      </c>
      <c r="G13" s="42">
        <f>+F13*1.03</f>
        <v>1347403.6516530002</v>
      </c>
      <c r="H13" s="42">
        <f>+G13*1.03</f>
        <v>1387825.7612025903</v>
      </c>
      <c r="I13" s="42">
        <f>+H13*1.03</f>
        <v>1429460.534038668</v>
      </c>
      <c r="O13" s="4">
        <v>325</v>
      </c>
      <c r="P13" s="4">
        <v>7185.11</v>
      </c>
      <c r="Q13" s="4">
        <f>+O13*P13</f>
        <v>2335160.75</v>
      </c>
    </row>
    <row r="14" spans="1:17">
      <c r="A14" s="18" t="s">
        <v>16</v>
      </c>
      <c r="B14" s="43">
        <v>0</v>
      </c>
      <c r="C14" s="43">
        <v>0</v>
      </c>
      <c r="D14" s="43">
        <v>0</v>
      </c>
      <c r="E14" s="44">
        <v>0</v>
      </c>
      <c r="F14" s="45">
        <v>0</v>
      </c>
      <c r="G14" s="45">
        <v>0</v>
      </c>
      <c r="H14" s="45">
        <v>0</v>
      </c>
      <c r="I14" s="46">
        <v>0</v>
      </c>
      <c r="J14" s="47"/>
      <c r="O14" s="4">
        <v>350</v>
      </c>
      <c r="P14" s="4">
        <v>7185.11</v>
      </c>
      <c r="Q14" s="4">
        <f>+O14*P14</f>
        <v>2514788.5</v>
      </c>
    </row>
    <row r="15" spans="1:17">
      <c r="A15" s="18" t="s">
        <v>17</v>
      </c>
      <c r="B15" s="43">
        <v>0</v>
      </c>
      <c r="C15" s="43">
        <v>0</v>
      </c>
      <c r="D15" s="43">
        <v>635.79999999999995</v>
      </c>
      <c r="E15" s="44">
        <v>0</v>
      </c>
      <c r="F15" s="45">
        <v>0</v>
      </c>
      <c r="G15" s="45">
        <v>0</v>
      </c>
      <c r="H15" s="45">
        <v>0</v>
      </c>
      <c r="I15" s="46">
        <v>0</v>
      </c>
      <c r="J15" s="47"/>
      <c r="O15" s="4">
        <v>350</v>
      </c>
      <c r="P15" s="4">
        <v>7185.11</v>
      </c>
      <c r="Q15" s="4">
        <f>+O15*P15</f>
        <v>2514788.5</v>
      </c>
    </row>
    <row r="16" spans="1:17">
      <c r="A16" s="18" t="s">
        <v>18</v>
      </c>
      <c r="B16" s="43">
        <f>24000+8360.54+830.52+12698.7+94965.28+8951.19</f>
        <v>149806.22999999998</v>
      </c>
      <c r="C16" s="43">
        <f>+'FY 23'!AE11+'FY 23'!AE12+'FY 23'!AE8</f>
        <v>103620.13</v>
      </c>
      <c r="D16" s="43">
        <f>4458.1+125697.08+4581.83+5583.23</f>
        <v>140320.24000000002</v>
      </c>
      <c r="E16" s="43">
        <f>124097.28+6500</f>
        <v>130597.28</v>
      </c>
      <c r="F16" s="43">
        <v>64561.29</v>
      </c>
      <c r="G16" s="43">
        <v>64561.29</v>
      </c>
      <c r="H16" s="43">
        <v>64561.29</v>
      </c>
      <c r="I16" s="43">
        <v>64561.29</v>
      </c>
      <c r="J16" s="47"/>
    </row>
    <row r="17" spans="1:17" ht="12">
      <c r="A17" s="48" t="s">
        <v>19</v>
      </c>
      <c r="B17" s="49">
        <f>SUM(B13:B16)</f>
        <v>1681461.54</v>
      </c>
      <c r="C17" s="49">
        <f>SUM(C13:C16)</f>
        <v>1934235.2999999998</v>
      </c>
      <c r="D17" s="49">
        <f>SUM(D13:D16)</f>
        <v>1457032.92</v>
      </c>
      <c r="E17" s="50">
        <f>SUM(E13:E16)</f>
        <v>1400654.45</v>
      </c>
      <c r="F17" s="50">
        <f t="shared" ref="F17:I17" si="0">SUM(F13:F16)</f>
        <v>1372720.1751000001</v>
      </c>
      <c r="G17" s="50">
        <f t="shared" si="0"/>
        <v>1411964.9416530002</v>
      </c>
      <c r="H17" s="50">
        <f t="shared" si="0"/>
        <v>1452387.0512025903</v>
      </c>
      <c r="I17" s="50">
        <f t="shared" si="0"/>
        <v>1494021.8240386681</v>
      </c>
      <c r="J17" s="47"/>
    </row>
    <row r="18" spans="1:17" ht="12">
      <c r="A18" s="48"/>
      <c r="B18" s="49"/>
      <c r="C18" s="49"/>
      <c r="D18" s="49"/>
      <c r="E18" s="50"/>
      <c r="F18" s="51"/>
      <c r="G18" s="51"/>
      <c r="H18" s="51"/>
      <c r="I18" s="52"/>
      <c r="J18" s="47"/>
      <c r="O18" s="4">
        <v>750000</v>
      </c>
      <c r="P18" s="4">
        <f>35000*1.25</f>
        <v>43750</v>
      </c>
      <c r="Q18" s="4">
        <f>(+O18+P18)*1.02</f>
        <v>809625</v>
      </c>
    </row>
    <row r="19" spans="1:17" ht="12">
      <c r="A19" s="35" t="s">
        <v>20</v>
      </c>
      <c r="B19" s="53"/>
      <c r="C19" s="53"/>
      <c r="D19" s="53"/>
      <c r="E19" s="54"/>
      <c r="F19" s="55"/>
      <c r="G19" s="55"/>
      <c r="H19" s="55"/>
      <c r="I19" s="56"/>
      <c r="J19" s="47"/>
      <c r="O19" s="4">
        <f>+Q18</f>
        <v>809625</v>
      </c>
      <c r="P19" s="4">
        <v>43750</v>
      </c>
      <c r="Q19" s="4">
        <f>(+O19+P19)*1.02</f>
        <v>870442.5</v>
      </c>
    </row>
    <row r="20" spans="1:17">
      <c r="A20" s="18" t="s">
        <v>21</v>
      </c>
      <c r="B20" s="41">
        <v>1040408.62</v>
      </c>
      <c r="C20" s="41">
        <f>+'FY 23'!AE39</f>
        <v>954549.97</v>
      </c>
      <c r="D20" s="41">
        <v>563803.87</v>
      </c>
      <c r="E20" s="57">
        <f>+D20*1.03</f>
        <v>580717.98609999998</v>
      </c>
      <c r="F20" s="57">
        <f t="shared" ref="F20:I21" si="1">+E20*1.02</f>
        <v>592332.34582199994</v>
      </c>
      <c r="G20" s="57">
        <f t="shared" si="1"/>
        <v>604178.99273843993</v>
      </c>
      <c r="H20" s="57">
        <f t="shared" si="1"/>
        <v>616262.57259320875</v>
      </c>
      <c r="I20" s="57">
        <f t="shared" si="1"/>
        <v>628587.82404507289</v>
      </c>
      <c r="J20" s="47"/>
      <c r="O20" s="4">
        <f>+Q19</f>
        <v>870442.5</v>
      </c>
      <c r="P20" s="4">
        <v>43750</v>
      </c>
      <c r="Q20" s="4">
        <f>(+O20+P20)*1.02</f>
        <v>932476.35</v>
      </c>
    </row>
    <row r="21" spans="1:17">
      <c r="A21" s="18" t="s">
        <v>22</v>
      </c>
      <c r="B21" s="43">
        <v>316875.14</v>
      </c>
      <c r="C21" s="43">
        <f>+'FY 23'!AE47</f>
        <v>270410.31</v>
      </c>
      <c r="D21" s="43">
        <v>175863.25</v>
      </c>
      <c r="E21" s="58">
        <f>+D21*1.03</f>
        <v>181139.14749999999</v>
      </c>
      <c r="F21" s="58">
        <f t="shared" si="1"/>
        <v>184761.93044999999</v>
      </c>
      <c r="G21" s="58">
        <f t="shared" si="1"/>
        <v>188457.16905899998</v>
      </c>
      <c r="H21" s="58">
        <f t="shared" si="1"/>
        <v>192226.31244017999</v>
      </c>
      <c r="I21" s="58">
        <f t="shared" si="1"/>
        <v>196070.83868898358</v>
      </c>
      <c r="J21" s="47"/>
      <c r="L21" s="166"/>
      <c r="O21" s="4">
        <f>+Q20</f>
        <v>932476.35</v>
      </c>
      <c r="P21" s="4">
        <v>43750</v>
      </c>
      <c r="Q21" s="4">
        <f>(+O21+P21)*1.02</f>
        <v>995750.87699999998</v>
      </c>
    </row>
    <row r="22" spans="1:17">
      <c r="A22" s="18" t="s">
        <v>23</v>
      </c>
      <c r="B22" s="43">
        <v>786398.22</v>
      </c>
      <c r="C22" s="43">
        <f>+C92</f>
        <v>1250878.9200000002</v>
      </c>
      <c r="D22" s="43">
        <f>+D92</f>
        <v>1280060.69</v>
      </c>
      <c r="E22" s="58">
        <f>+E92</f>
        <v>1093885.1996000002</v>
      </c>
      <c r="F22" s="58">
        <f t="shared" ref="F22:I22" si="2">+F92</f>
        <v>1105087.510088</v>
      </c>
      <c r="G22" s="58">
        <f t="shared" si="2"/>
        <v>1116625.88989064</v>
      </c>
      <c r="H22" s="58">
        <f t="shared" si="2"/>
        <v>1128510.4210873593</v>
      </c>
      <c r="I22" s="58">
        <f t="shared" si="2"/>
        <v>1140751.4882199799</v>
      </c>
      <c r="J22" s="47"/>
    </row>
    <row r="23" spans="1:17">
      <c r="A23" s="18" t="s">
        <v>24</v>
      </c>
      <c r="B23" s="43">
        <v>115627.05</v>
      </c>
      <c r="C23" s="43">
        <f>+'FY 23'!AE100</f>
        <v>162518.68</v>
      </c>
      <c r="D23" s="43">
        <v>110446.22</v>
      </c>
      <c r="E23" s="58">
        <f>+'Remainder of FY 24 4.1.24'!AE98</f>
        <v>76744.160000000003</v>
      </c>
      <c r="F23" s="58">
        <v>76744.160000000003</v>
      </c>
      <c r="G23" s="58">
        <v>76744.160000000003</v>
      </c>
      <c r="H23" s="58">
        <v>76744.160000000003</v>
      </c>
      <c r="I23" s="58">
        <v>76744.160000000003</v>
      </c>
      <c r="J23" s="47"/>
      <c r="L23" s="59"/>
    </row>
    <row r="24" spans="1:17">
      <c r="A24" s="18" t="s">
        <v>25</v>
      </c>
      <c r="B24" s="43"/>
      <c r="C24" s="43"/>
      <c r="D24" s="43"/>
      <c r="E24" s="58">
        <v>250000</v>
      </c>
      <c r="F24" s="60"/>
      <c r="G24" s="60"/>
      <c r="H24" s="60"/>
      <c r="I24" s="61"/>
      <c r="J24" s="47"/>
    </row>
    <row r="25" spans="1:17">
      <c r="A25" s="18" t="s">
        <v>26</v>
      </c>
      <c r="B25" s="43">
        <v>0</v>
      </c>
      <c r="C25" s="43">
        <v>0</v>
      </c>
      <c r="D25" s="43">
        <v>0</v>
      </c>
      <c r="E25" s="58">
        <v>0</v>
      </c>
      <c r="F25" s="60">
        <v>0</v>
      </c>
      <c r="G25" s="60">
        <v>0</v>
      </c>
      <c r="H25" s="60">
        <v>0</v>
      </c>
      <c r="I25" s="61">
        <v>0</v>
      </c>
      <c r="J25" s="47"/>
    </row>
    <row r="26" spans="1:17">
      <c r="A26" s="18" t="s">
        <v>27</v>
      </c>
      <c r="B26" s="43">
        <v>40889.46</v>
      </c>
      <c r="C26" s="43">
        <f>2653376-2638358</f>
        <v>15018</v>
      </c>
      <c r="D26" s="43">
        <v>2288.9499999999998</v>
      </c>
      <c r="E26" s="43">
        <v>2288.9499999999998</v>
      </c>
      <c r="F26" s="43">
        <v>2288.9499999999998</v>
      </c>
      <c r="G26" s="43">
        <v>2288.9499999999998</v>
      </c>
      <c r="H26" s="43">
        <v>2288.9499999999998</v>
      </c>
      <c r="I26" s="43">
        <v>2288.9499999999998</v>
      </c>
      <c r="J26" s="47"/>
    </row>
    <row r="27" spans="1:17">
      <c r="A27" s="18" t="s">
        <v>28</v>
      </c>
      <c r="B27" s="43">
        <v>0</v>
      </c>
      <c r="C27" s="43">
        <v>0</v>
      </c>
      <c r="D27" s="43">
        <v>0</v>
      </c>
      <c r="E27" s="58">
        <f>14000*12</f>
        <v>168000</v>
      </c>
      <c r="F27" s="58">
        <f t="shared" ref="F27:I27" si="3">14000*12</f>
        <v>168000</v>
      </c>
      <c r="G27" s="58">
        <f t="shared" si="3"/>
        <v>168000</v>
      </c>
      <c r="H27" s="58">
        <f t="shared" si="3"/>
        <v>168000</v>
      </c>
      <c r="I27" s="58">
        <f t="shared" si="3"/>
        <v>168000</v>
      </c>
      <c r="J27" s="47"/>
    </row>
    <row r="28" spans="1:17">
      <c r="A28" s="18" t="s">
        <v>29</v>
      </c>
      <c r="B28" s="49">
        <f t="shared" ref="B28" si="4">SUM(B20:B27)</f>
        <v>2300198.4899999998</v>
      </c>
      <c r="C28" s="49">
        <f>SUM(C20:C27)</f>
        <v>2653375.8800000004</v>
      </c>
      <c r="D28" s="49">
        <f>SUM(D20:D27)</f>
        <v>2132462.9800000004</v>
      </c>
      <c r="E28" s="50">
        <f>SUM(E20:E27)</f>
        <v>2352775.4432000006</v>
      </c>
      <c r="F28" s="51">
        <f>SUM(F20:F27)</f>
        <v>2129214.8963599997</v>
      </c>
      <c r="G28" s="51">
        <f t="shared" ref="G28:I28" si="5">SUM(G20:G27)</f>
        <v>2156295.1616880801</v>
      </c>
      <c r="H28" s="51">
        <f t="shared" si="5"/>
        <v>2184032.416120748</v>
      </c>
      <c r="I28" s="52">
        <f t="shared" si="5"/>
        <v>2212443.2609540364</v>
      </c>
      <c r="J28" s="62"/>
    </row>
    <row r="29" spans="1:17" ht="12" customHeight="1">
      <c r="A29" s="18"/>
      <c r="B29" s="49"/>
      <c r="C29" s="49"/>
      <c r="D29" s="49"/>
      <c r="E29" s="50"/>
      <c r="F29" s="51"/>
      <c r="G29" s="51"/>
      <c r="H29" s="51"/>
      <c r="I29" s="52"/>
      <c r="J29" s="47"/>
    </row>
    <row r="30" spans="1:17" ht="12" customHeight="1">
      <c r="A30" s="18" t="s">
        <v>30</v>
      </c>
      <c r="B30" s="49"/>
      <c r="C30" s="49"/>
      <c r="D30" s="49"/>
      <c r="E30" s="50"/>
      <c r="F30" s="51"/>
      <c r="G30" s="51"/>
      <c r="H30" s="51"/>
      <c r="I30" s="52"/>
      <c r="J30" s="47"/>
    </row>
    <row r="31" spans="1:17" ht="12" customHeight="1">
      <c r="A31" s="18" t="s">
        <v>20</v>
      </c>
      <c r="B31" s="49">
        <f>+B17-B28</f>
        <v>-618736.94999999972</v>
      </c>
      <c r="C31" s="49">
        <f>+C17-C28</f>
        <v>-719140.58000000054</v>
      </c>
      <c r="D31" s="49">
        <f>+D17-D28</f>
        <v>-675430.06000000052</v>
      </c>
      <c r="E31" s="50">
        <f>+E17-E28</f>
        <v>-952120.99320000061</v>
      </c>
      <c r="F31" s="51">
        <f>+F17-F28</f>
        <v>-756494.72125999955</v>
      </c>
      <c r="G31" s="51">
        <f t="shared" ref="G31:I31" si="6">+G17-G28</f>
        <v>-744330.22003507987</v>
      </c>
      <c r="H31" s="51">
        <f t="shared" si="6"/>
        <v>-731645.36491815769</v>
      </c>
      <c r="I31" s="51">
        <f t="shared" si="6"/>
        <v>-718421.43691536831</v>
      </c>
      <c r="J31" s="47"/>
    </row>
    <row r="32" spans="1:17" ht="12" customHeight="1">
      <c r="A32" s="18"/>
      <c r="B32" s="49"/>
      <c r="C32" s="49"/>
      <c r="D32" s="49"/>
      <c r="E32" s="50"/>
      <c r="F32" s="51"/>
      <c r="G32" s="51"/>
      <c r="H32" s="51"/>
      <c r="I32" s="52"/>
      <c r="J32" s="47"/>
    </row>
    <row r="33" spans="1:13" ht="12">
      <c r="A33" s="35" t="s">
        <v>31</v>
      </c>
      <c r="B33" s="53"/>
      <c r="C33" s="53"/>
      <c r="D33" s="53"/>
      <c r="E33" s="63"/>
      <c r="F33" s="64"/>
      <c r="G33" s="64"/>
      <c r="H33" s="64"/>
      <c r="I33" s="65"/>
      <c r="J33" s="47"/>
      <c r="M33" s="59"/>
    </row>
    <row r="34" spans="1:13">
      <c r="A34" s="18" t="s">
        <v>32</v>
      </c>
      <c r="B34" s="41">
        <v>640241.31000000006</v>
      </c>
      <c r="C34" s="41">
        <f>+'FY 23'!AE22</f>
        <v>627791.6</v>
      </c>
      <c r="D34" s="41">
        <v>499730.26</v>
      </c>
      <c r="E34" s="42">
        <f>399559+63000</f>
        <v>462559</v>
      </c>
      <c r="F34" s="42">
        <f>+E34*1.03</f>
        <v>476435.77</v>
      </c>
      <c r="G34" s="42">
        <f>+F34*1.03</f>
        <v>490728.84310000006</v>
      </c>
      <c r="H34" s="42">
        <f>+G34*1.03</f>
        <v>505450.70839300007</v>
      </c>
      <c r="I34" s="42">
        <f>+H34*1.03</f>
        <v>520614.22964479006</v>
      </c>
      <c r="J34" s="47"/>
    </row>
    <row r="35" spans="1:13">
      <c r="A35" s="18" t="s">
        <v>33</v>
      </c>
      <c r="B35" s="43">
        <v>574163.47</v>
      </c>
      <c r="C35" s="43">
        <f>SUM('FY 23'!AE16:AE19)</f>
        <v>423386.35</v>
      </c>
      <c r="D35" s="43">
        <v>573154</v>
      </c>
      <c r="E35" s="46">
        <f>52628.68+147603.88+1299.7+334605.52</f>
        <v>536137.78</v>
      </c>
      <c r="F35" s="46">
        <f>+E35*1.03</f>
        <v>552221.91340000008</v>
      </c>
      <c r="G35" s="46">
        <f>+F35*1.03</f>
        <v>568788.57080200012</v>
      </c>
      <c r="H35" s="46">
        <f>+G35*1.03</f>
        <v>585852.22792606009</v>
      </c>
      <c r="I35" s="46">
        <f>+H35*1.03</f>
        <v>603427.7947638419</v>
      </c>
      <c r="J35" s="47"/>
    </row>
    <row r="36" spans="1:13">
      <c r="A36" s="18" t="s">
        <v>34</v>
      </c>
      <c r="B36" s="43"/>
      <c r="C36" s="43"/>
      <c r="D36" s="43"/>
      <c r="E36" s="44"/>
      <c r="F36" s="45"/>
      <c r="G36" s="45"/>
      <c r="H36" s="45"/>
      <c r="I36" s="46"/>
      <c r="J36" s="47"/>
    </row>
    <row r="37" spans="1:13">
      <c r="A37" s="18" t="s">
        <v>35</v>
      </c>
      <c r="B37" s="43">
        <v>0</v>
      </c>
      <c r="C37" s="43">
        <v>0</v>
      </c>
      <c r="D37" s="43">
        <v>0</v>
      </c>
      <c r="E37" s="44">
        <v>0</v>
      </c>
      <c r="F37" s="45">
        <v>0</v>
      </c>
      <c r="G37" s="45">
        <v>0</v>
      </c>
      <c r="H37" s="45">
        <v>0</v>
      </c>
      <c r="I37" s="46">
        <v>0</v>
      </c>
      <c r="J37" s="47"/>
    </row>
    <row r="38" spans="1:13">
      <c r="A38" s="18" t="s">
        <v>36</v>
      </c>
      <c r="B38" s="43">
        <v>3987.79</v>
      </c>
      <c r="C38" s="43">
        <f>58947+24000</f>
        <v>82947</v>
      </c>
      <c r="D38" s="43">
        <v>171550.5</v>
      </c>
      <c r="E38" s="44">
        <f>112000+120000</f>
        <v>232000</v>
      </c>
      <c r="F38" s="44">
        <f t="shared" ref="F38:I38" si="7">112000+120000</f>
        <v>232000</v>
      </c>
      <c r="G38" s="44">
        <f t="shared" si="7"/>
        <v>232000</v>
      </c>
      <c r="H38" s="44">
        <f t="shared" si="7"/>
        <v>232000</v>
      </c>
      <c r="I38" s="44">
        <f t="shared" si="7"/>
        <v>232000</v>
      </c>
      <c r="J38" s="47"/>
    </row>
    <row r="39" spans="1:13">
      <c r="A39" s="18" t="s">
        <v>37</v>
      </c>
      <c r="B39" s="43">
        <v>0</v>
      </c>
      <c r="C39" s="43">
        <v>0</v>
      </c>
      <c r="D39" s="43">
        <v>0</v>
      </c>
      <c r="E39" s="44">
        <v>1000000</v>
      </c>
      <c r="F39" s="45"/>
      <c r="G39" s="45"/>
      <c r="H39" s="45">
        <v>0</v>
      </c>
      <c r="I39" s="46">
        <v>0</v>
      </c>
      <c r="J39" s="47"/>
    </row>
    <row r="40" spans="1:13">
      <c r="A40" s="18" t="s">
        <v>38</v>
      </c>
      <c r="B40" s="43"/>
      <c r="C40" s="43"/>
      <c r="D40" s="43"/>
      <c r="E40" s="44"/>
      <c r="F40" s="45"/>
      <c r="G40" s="45"/>
      <c r="H40" s="45"/>
      <c r="I40" s="46"/>
      <c r="J40" s="47"/>
    </row>
    <row r="41" spans="1:13">
      <c r="A41" s="18" t="s">
        <v>39</v>
      </c>
      <c r="B41" s="43">
        <v>0</v>
      </c>
      <c r="C41" s="43">
        <v>0</v>
      </c>
      <c r="D41" s="43">
        <v>0</v>
      </c>
      <c r="E41" s="44">
        <v>0</v>
      </c>
      <c r="F41" s="45">
        <v>0</v>
      </c>
      <c r="G41" s="45">
        <v>0</v>
      </c>
      <c r="H41" s="45">
        <v>0</v>
      </c>
      <c r="I41" s="46">
        <v>0</v>
      </c>
      <c r="J41" s="47"/>
    </row>
    <row r="42" spans="1:13">
      <c r="A42" s="18" t="s">
        <v>40</v>
      </c>
      <c r="B42" s="43">
        <v>0</v>
      </c>
      <c r="C42" s="43">
        <v>0</v>
      </c>
      <c r="D42" s="43">
        <v>0</v>
      </c>
      <c r="E42" s="44">
        <v>0</v>
      </c>
      <c r="F42" s="45">
        <v>0</v>
      </c>
      <c r="G42" s="45">
        <v>0</v>
      </c>
      <c r="H42" s="45">
        <v>0</v>
      </c>
      <c r="I42" s="46">
        <v>0</v>
      </c>
      <c r="J42" s="47"/>
    </row>
    <row r="43" spans="1:13">
      <c r="A43" s="18" t="s">
        <v>41</v>
      </c>
      <c r="B43" s="43"/>
      <c r="C43" s="43"/>
      <c r="D43" s="43"/>
      <c r="E43" s="44"/>
      <c r="F43" s="45"/>
      <c r="G43" s="45"/>
      <c r="H43" s="45"/>
      <c r="I43" s="46"/>
      <c r="J43" s="47"/>
    </row>
    <row r="44" spans="1:13">
      <c r="A44" s="18" t="s">
        <v>42</v>
      </c>
      <c r="B44" s="49">
        <f>SUM(B34:B43)</f>
        <v>1218392.57</v>
      </c>
      <c r="C44" s="49">
        <f>SUM(C34:C43)</f>
        <v>1134124.95</v>
      </c>
      <c r="D44" s="49">
        <f>SUM(D34:D43)</f>
        <v>1244434.76</v>
      </c>
      <c r="E44" s="50">
        <f t="shared" ref="E44:I44" si="8">SUM(E34:E43)</f>
        <v>2230696.7800000003</v>
      </c>
      <c r="F44" s="51">
        <f t="shared" si="8"/>
        <v>1260657.6834</v>
      </c>
      <c r="G44" s="51">
        <f t="shared" si="8"/>
        <v>1291517.4139020001</v>
      </c>
      <c r="H44" s="51">
        <f t="shared" si="8"/>
        <v>1323302.9363190602</v>
      </c>
      <c r="I44" s="52">
        <f t="shared" si="8"/>
        <v>1356042.024408632</v>
      </c>
      <c r="J44" s="47"/>
    </row>
    <row r="45" spans="1:13">
      <c r="A45" s="18"/>
      <c r="B45" s="66"/>
      <c r="C45" s="66"/>
      <c r="D45" s="66"/>
      <c r="E45" s="67"/>
      <c r="F45" s="68"/>
      <c r="G45" s="68"/>
      <c r="H45" s="68"/>
      <c r="I45" s="69"/>
      <c r="J45" s="47"/>
    </row>
    <row r="46" spans="1:13">
      <c r="A46" s="18"/>
      <c r="B46" s="66"/>
      <c r="C46" s="66"/>
      <c r="D46" s="66"/>
      <c r="E46" s="67"/>
      <c r="F46" s="68"/>
      <c r="G46" s="68"/>
      <c r="H46" s="68"/>
      <c r="I46" s="69"/>
      <c r="J46" s="47"/>
    </row>
    <row r="47" spans="1:13">
      <c r="A47" s="18" t="s">
        <v>43</v>
      </c>
      <c r="B47" s="66"/>
      <c r="C47" s="66"/>
      <c r="D47" s="66"/>
      <c r="E47" s="67"/>
      <c r="F47" s="68"/>
      <c r="G47" s="68"/>
      <c r="H47" s="68"/>
      <c r="I47" s="69"/>
      <c r="J47" s="47"/>
    </row>
    <row r="48" spans="1:13">
      <c r="A48" s="18" t="s">
        <v>44</v>
      </c>
      <c r="B48" s="66"/>
      <c r="C48" s="66"/>
      <c r="D48" s="66"/>
      <c r="E48" s="67"/>
      <c r="F48" s="68"/>
      <c r="G48" s="68"/>
      <c r="H48" s="68"/>
      <c r="I48" s="69"/>
      <c r="J48" s="47"/>
    </row>
    <row r="49" spans="1:10">
      <c r="A49" s="18" t="s">
        <v>45</v>
      </c>
      <c r="B49" s="66">
        <f>+B31+B44</f>
        <v>599655.62000000034</v>
      </c>
      <c r="C49" s="66">
        <f>+C31+C44</f>
        <v>414984.36999999941</v>
      </c>
      <c r="D49" s="66">
        <f>+D31+D44</f>
        <v>569004.69999999949</v>
      </c>
      <c r="E49" s="67">
        <f>+E31+E44</f>
        <v>1278575.7867999997</v>
      </c>
      <c r="F49" s="68">
        <f>+F31+F44</f>
        <v>504162.96214000043</v>
      </c>
      <c r="G49" s="68">
        <f t="shared" ref="G49:I49" si="9">+G31+G44</f>
        <v>547187.19386692019</v>
      </c>
      <c r="H49" s="68">
        <f t="shared" si="9"/>
        <v>591657.57140090247</v>
      </c>
      <c r="I49" s="68">
        <f t="shared" si="9"/>
        <v>637620.58749326365</v>
      </c>
      <c r="J49" s="47"/>
    </row>
    <row r="50" spans="1:10">
      <c r="A50" s="18"/>
      <c r="B50" s="66"/>
      <c r="C50" s="66"/>
      <c r="D50" s="66"/>
      <c r="E50" s="67"/>
      <c r="F50" s="68"/>
      <c r="G50" s="68"/>
      <c r="H50" s="68"/>
      <c r="I50" s="69"/>
      <c r="J50" s="47"/>
    </row>
    <row r="51" spans="1:10">
      <c r="A51" s="18" t="s">
        <v>46</v>
      </c>
      <c r="B51" s="66">
        <v>2119048</v>
      </c>
      <c r="C51" s="66">
        <f>+B53</f>
        <v>2718703.62</v>
      </c>
      <c r="D51" s="66">
        <f>+C53</f>
        <v>3133687.9899999993</v>
      </c>
      <c r="E51" s="67">
        <f>+C53</f>
        <v>3133687.9899999993</v>
      </c>
      <c r="F51" s="68">
        <f t="shared" ref="F51:I51" si="10">+E53</f>
        <v>4412263.7767999992</v>
      </c>
      <c r="G51" s="68">
        <f t="shared" si="10"/>
        <v>4916426.7389399996</v>
      </c>
      <c r="H51" s="68">
        <f t="shared" si="10"/>
        <v>5463613.9328069203</v>
      </c>
      <c r="I51" s="69">
        <f t="shared" si="10"/>
        <v>6055271.5042078225</v>
      </c>
      <c r="J51" s="47"/>
    </row>
    <row r="52" spans="1:10">
      <c r="A52" s="18"/>
      <c r="B52" s="66"/>
      <c r="C52" s="66"/>
      <c r="D52" s="66"/>
      <c r="E52" s="67"/>
      <c r="F52" s="68"/>
      <c r="G52" s="68"/>
      <c r="H52" s="68"/>
      <c r="I52" s="69"/>
    </row>
    <row r="53" spans="1:10" ht="12" thickBot="1">
      <c r="A53" s="18" t="s">
        <v>47</v>
      </c>
      <c r="B53" s="70">
        <f>+B49+B51</f>
        <v>2718703.62</v>
      </c>
      <c r="C53" s="70">
        <f>+C49+C51</f>
        <v>3133687.9899999993</v>
      </c>
      <c r="D53" s="70">
        <f>+D49+D51</f>
        <v>3702692.6899999985</v>
      </c>
      <c r="E53" s="71">
        <f t="shared" ref="E53:I53" si="11">+E49+E51</f>
        <v>4412263.7767999992</v>
      </c>
      <c r="F53" s="72">
        <f t="shared" si="11"/>
        <v>4916426.7389399996</v>
      </c>
      <c r="G53" s="72">
        <f t="shared" si="11"/>
        <v>5463613.9328069203</v>
      </c>
      <c r="H53" s="72">
        <f t="shared" si="11"/>
        <v>6055271.5042078225</v>
      </c>
      <c r="I53" s="73">
        <f t="shared" si="11"/>
        <v>6692892.0917010866</v>
      </c>
    </row>
    <row r="54" spans="1:10">
      <c r="A54" s="18"/>
      <c r="B54" s="59"/>
      <c r="C54" s="59"/>
      <c r="D54" s="59"/>
      <c r="E54" s="59"/>
      <c r="F54" s="59"/>
      <c r="G54" s="59"/>
      <c r="H54" s="59"/>
      <c r="I54" s="59"/>
    </row>
    <row r="55" spans="1:10" ht="12">
      <c r="A55" s="35" t="s">
        <v>48</v>
      </c>
      <c r="B55" s="74">
        <v>0</v>
      </c>
      <c r="C55" s="74">
        <v>0</v>
      </c>
      <c r="D55" s="74">
        <v>0</v>
      </c>
      <c r="E55" s="59">
        <v>0</v>
      </c>
      <c r="F55" s="59">
        <v>0</v>
      </c>
      <c r="G55" s="59">
        <v>0</v>
      </c>
      <c r="H55" s="59">
        <v>0</v>
      </c>
      <c r="I55" s="59">
        <v>0</v>
      </c>
    </row>
    <row r="56" spans="1:10" ht="12">
      <c r="A56" s="35"/>
      <c r="B56" s="74">
        <v>0</v>
      </c>
      <c r="C56" s="74">
        <v>0</v>
      </c>
      <c r="D56" s="74">
        <v>0</v>
      </c>
      <c r="E56" s="59">
        <v>0</v>
      </c>
      <c r="F56" s="59">
        <v>0</v>
      </c>
      <c r="G56" s="59">
        <v>0</v>
      </c>
      <c r="H56" s="59">
        <v>0</v>
      </c>
      <c r="I56" s="59">
        <v>0</v>
      </c>
    </row>
    <row r="57" spans="1:10">
      <c r="A57" s="18" t="s">
        <v>49</v>
      </c>
      <c r="B57" s="75">
        <v>0</v>
      </c>
      <c r="C57" s="74">
        <v>0</v>
      </c>
      <c r="D57" s="74">
        <v>0</v>
      </c>
      <c r="E57" s="76">
        <v>0</v>
      </c>
      <c r="F57" s="76">
        <v>0</v>
      </c>
      <c r="G57" s="76">
        <v>0</v>
      </c>
      <c r="H57" s="76">
        <v>0</v>
      </c>
      <c r="I57" s="76">
        <v>0</v>
      </c>
    </row>
    <row r="58" spans="1:10">
      <c r="A58" s="18" t="s">
        <v>50</v>
      </c>
      <c r="B58" s="75">
        <v>0</v>
      </c>
      <c r="C58" s="74">
        <v>0</v>
      </c>
      <c r="D58" s="74">
        <v>0</v>
      </c>
      <c r="E58" s="76">
        <v>0</v>
      </c>
      <c r="F58" s="76">
        <v>0</v>
      </c>
      <c r="G58" s="76">
        <v>0</v>
      </c>
      <c r="H58" s="76">
        <v>0</v>
      </c>
      <c r="I58" s="76">
        <v>0</v>
      </c>
    </row>
    <row r="59" spans="1:10">
      <c r="A59" s="18" t="s">
        <v>51</v>
      </c>
      <c r="B59" s="75">
        <v>0</v>
      </c>
      <c r="C59" s="74">
        <v>0</v>
      </c>
      <c r="D59" s="74">
        <v>0</v>
      </c>
      <c r="E59" s="76">
        <v>0</v>
      </c>
      <c r="F59" s="76">
        <v>0</v>
      </c>
      <c r="G59" s="76">
        <v>0</v>
      </c>
      <c r="H59" s="76">
        <v>0</v>
      </c>
      <c r="I59" s="76">
        <v>0</v>
      </c>
    </row>
    <row r="60" spans="1:10">
      <c r="A60" s="18" t="s">
        <v>52</v>
      </c>
      <c r="B60" s="75">
        <v>0</v>
      </c>
      <c r="C60" s="74">
        <v>0</v>
      </c>
      <c r="D60" s="74">
        <v>0</v>
      </c>
      <c r="E60" s="76">
        <v>0</v>
      </c>
      <c r="F60" s="76">
        <v>0</v>
      </c>
      <c r="G60" s="76">
        <v>0</v>
      </c>
      <c r="H60" s="76">
        <v>0</v>
      </c>
      <c r="I60" s="76">
        <v>0</v>
      </c>
    </row>
    <row r="61" spans="1:10">
      <c r="A61" s="18" t="s">
        <v>53</v>
      </c>
      <c r="B61" s="75">
        <v>0</v>
      </c>
      <c r="C61" s="74">
        <v>0</v>
      </c>
      <c r="D61" s="74">
        <v>0</v>
      </c>
      <c r="E61" s="76">
        <v>0</v>
      </c>
      <c r="F61" s="76">
        <v>0</v>
      </c>
      <c r="G61" s="76">
        <v>0</v>
      </c>
      <c r="H61" s="76">
        <v>0</v>
      </c>
      <c r="I61" s="76">
        <v>0</v>
      </c>
    </row>
    <row r="62" spans="1:10">
      <c r="A62" s="18" t="s">
        <v>54</v>
      </c>
      <c r="B62" s="75">
        <v>0</v>
      </c>
      <c r="C62" s="74">
        <v>0</v>
      </c>
      <c r="D62" s="74">
        <v>0</v>
      </c>
      <c r="E62" s="76">
        <v>0</v>
      </c>
      <c r="F62" s="76">
        <v>0</v>
      </c>
      <c r="G62" s="76">
        <v>0</v>
      </c>
      <c r="H62" s="76">
        <v>0</v>
      </c>
      <c r="I62" s="76">
        <v>0</v>
      </c>
    </row>
    <row r="63" spans="1:10">
      <c r="A63" s="18"/>
      <c r="B63" s="77"/>
      <c r="C63" s="78"/>
      <c r="D63" s="78"/>
      <c r="E63" s="77"/>
      <c r="F63" s="77"/>
      <c r="G63" s="77"/>
      <c r="H63" s="77"/>
      <c r="I63" s="77"/>
    </row>
    <row r="64" spans="1:10" ht="14.45" thickBot="1">
      <c r="A64" s="79" t="s">
        <v>55</v>
      </c>
      <c r="B64" s="77"/>
      <c r="C64" s="78"/>
      <c r="D64" s="78"/>
      <c r="E64" s="77"/>
      <c r="F64" s="77"/>
      <c r="G64" s="77"/>
      <c r="H64" s="77"/>
      <c r="I64" s="77"/>
    </row>
    <row r="65" spans="1:9" s="80" customFormat="1" ht="12.6" thickBot="1">
      <c r="A65" s="35"/>
      <c r="B65" s="207" t="s">
        <v>11</v>
      </c>
      <c r="C65" s="208"/>
      <c r="D65" s="209"/>
      <c r="E65" s="210" t="s">
        <v>12</v>
      </c>
      <c r="F65" s="211"/>
      <c r="G65" s="211"/>
      <c r="H65" s="211"/>
      <c r="I65" s="212"/>
    </row>
    <row r="66" spans="1:9">
      <c r="A66" s="18"/>
      <c r="B66" s="22" t="s">
        <v>13</v>
      </c>
      <c r="C66" s="23" t="s">
        <v>13</v>
      </c>
      <c r="D66" s="24" t="s">
        <v>13</v>
      </c>
      <c r="E66" s="25" t="s">
        <v>13</v>
      </c>
      <c r="F66" s="26" t="s">
        <v>13</v>
      </c>
      <c r="G66" s="26" t="s">
        <v>13</v>
      </c>
      <c r="H66" s="26" t="s">
        <v>13</v>
      </c>
      <c r="I66" s="27" t="s">
        <v>13</v>
      </c>
    </row>
    <row r="67" spans="1:9" ht="12">
      <c r="A67" s="35" t="s">
        <v>56</v>
      </c>
      <c r="B67" s="28">
        <v>2022</v>
      </c>
      <c r="C67" s="29">
        <v>2023</v>
      </c>
      <c r="D67" s="30">
        <v>2024</v>
      </c>
      <c r="E67" s="31">
        <v>2025</v>
      </c>
      <c r="F67" s="32">
        <v>2026</v>
      </c>
      <c r="G67" s="33">
        <v>2027</v>
      </c>
      <c r="H67" s="33">
        <v>2028</v>
      </c>
      <c r="I67" s="34">
        <v>2029</v>
      </c>
    </row>
    <row r="68" spans="1:9">
      <c r="A68" s="18" t="s">
        <v>57</v>
      </c>
      <c r="B68" s="81">
        <v>211</v>
      </c>
      <c r="C68" s="81">
        <v>184</v>
      </c>
      <c r="D68" s="81">
        <v>126</v>
      </c>
      <c r="E68" s="81">
        <v>141</v>
      </c>
      <c r="F68" s="81">
        <f>+E68*1.03</f>
        <v>145.22999999999999</v>
      </c>
      <c r="G68" s="81">
        <f>+F68*1.03</f>
        <v>149.58689999999999</v>
      </c>
      <c r="H68" s="81">
        <f>+G68*1.03</f>
        <v>154.07450699999998</v>
      </c>
      <c r="I68" s="81">
        <f>+H68*1.03</f>
        <v>158.69674221</v>
      </c>
    </row>
    <row r="69" spans="1:9">
      <c r="A69" s="18" t="s">
        <v>58</v>
      </c>
      <c r="B69" s="81">
        <v>11</v>
      </c>
      <c r="C69" s="81">
        <v>9</v>
      </c>
      <c r="D69" s="81">
        <v>9</v>
      </c>
      <c r="E69" s="81">
        <v>6</v>
      </c>
      <c r="F69" s="81">
        <v>6</v>
      </c>
      <c r="G69" s="81">
        <v>6</v>
      </c>
      <c r="H69" s="81">
        <v>6</v>
      </c>
      <c r="I69" s="81">
        <v>6</v>
      </c>
    </row>
    <row r="70" spans="1:9">
      <c r="A70" s="18" t="s">
        <v>59</v>
      </c>
      <c r="B70" s="81">
        <v>3</v>
      </c>
      <c r="C70" s="81">
        <v>3</v>
      </c>
      <c r="D70" s="81">
        <v>3</v>
      </c>
      <c r="E70" s="81">
        <v>2</v>
      </c>
      <c r="F70" s="81">
        <v>2</v>
      </c>
      <c r="G70" s="81">
        <v>2</v>
      </c>
      <c r="H70" s="81">
        <v>2</v>
      </c>
      <c r="I70" s="81">
        <v>2</v>
      </c>
    </row>
    <row r="71" spans="1:9" ht="12" thickBot="1">
      <c r="A71" s="18" t="s">
        <v>60</v>
      </c>
      <c r="B71" s="82">
        <v>6</v>
      </c>
      <c r="C71" s="82">
        <v>7</v>
      </c>
      <c r="D71" s="82">
        <v>7</v>
      </c>
      <c r="E71" s="82">
        <v>2</v>
      </c>
      <c r="F71" s="82">
        <v>2</v>
      </c>
      <c r="G71" s="82">
        <v>2</v>
      </c>
      <c r="H71" s="82">
        <v>2</v>
      </c>
      <c r="I71" s="82">
        <v>2</v>
      </c>
    </row>
    <row r="72" spans="1:9">
      <c r="A72" s="18"/>
      <c r="B72" s="83"/>
      <c r="C72" s="84"/>
      <c r="D72" s="84"/>
      <c r="E72" s="85"/>
      <c r="F72" s="85"/>
      <c r="G72" s="86"/>
      <c r="H72" s="86"/>
      <c r="I72" s="87"/>
    </row>
    <row r="73" spans="1:9" ht="12.6" thickBot="1">
      <c r="A73" s="35" t="s">
        <v>61</v>
      </c>
      <c r="B73" s="83"/>
      <c r="C73" s="84"/>
      <c r="D73" s="84"/>
      <c r="E73" s="85"/>
      <c r="F73" s="85"/>
      <c r="G73" s="86"/>
      <c r="H73" s="86"/>
      <c r="I73" s="87"/>
    </row>
    <row r="74" spans="1:9">
      <c r="A74" s="18" t="s">
        <v>62</v>
      </c>
      <c r="B74" s="88">
        <v>189198.7</v>
      </c>
      <c r="C74" s="88">
        <f>+'FY 23'!AE66+'FY 23'!AE67</f>
        <v>188369.5</v>
      </c>
      <c r="D74" s="88">
        <v>360000</v>
      </c>
      <c r="E74" s="89">
        <f>15000*12</f>
        <v>180000</v>
      </c>
      <c r="F74" s="89">
        <f t="shared" ref="F74:I74" si="12">15000*12</f>
        <v>180000</v>
      </c>
      <c r="G74" s="89">
        <f t="shared" si="12"/>
        <v>180000</v>
      </c>
      <c r="H74" s="89">
        <f t="shared" si="12"/>
        <v>180000</v>
      </c>
      <c r="I74" s="89">
        <f t="shared" si="12"/>
        <v>180000</v>
      </c>
    </row>
    <row r="75" spans="1:9">
      <c r="A75" s="18" t="s">
        <v>63</v>
      </c>
      <c r="B75" s="90">
        <f>1564.08+14652.56+4251.5+5570.91</f>
        <v>26039.05</v>
      </c>
      <c r="C75" s="90">
        <f>+'FY 23'!AE72+'FY 23'!AE77+'FY 23'!AE78+'FY 23'!AE80</f>
        <v>29290.760000000002</v>
      </c>
      <c r="D75" s="90">
        <v>26726.400000000001</v>
      </c>
      <c r="E75" s="90">
        <v>26726.400000000001</v>
      </c>
      <c r="F75" s="90">
        <v>26726.400000000001</v>
      </c>
      <c r="G75" s="90">
        <v>26726.400000000001</v>
      </c>
      <c r="H75" s="90">
        <v>26726.400000000001</v>
      </c>
      <c r="I75" s="90">
        <v>26726.400000000001</v>
      </c>
    </row>
    <row r="76" spans="1:9">
      <c r="A76" s="18" t="s">
        <v>64</v>
      </c>
      <c r="B76" s="90">
        <f>11455.63+56763.4+9440.59+17.47+10951.7+3540+17150</f>
        <v>109318.79</v>
      </c>
      <c r="C76" s="90">
        <f>+'FY 23'!AE61+'FY 23'!AE62+'FY 23'!AE63+'FY 23'!AE64+'FY 23'!AE65+'FY 23'!AE68+'FY 23'!AE69</f>
        <v>164032.46</v>
      </c>
      <c r="D76" s="90">
        <v>130262</v>
      </c>
      <c r="E76" s="90">
        <v>130262</v>
      </c>
      <c r="F76" s="90">
        <v>130262</v>
      </c>
      <c r="G76" s="90">
        <v>130262</v>
      </c>
      <c r="H76" s="90">
        <v>130262</v>
      </c>
      <c r="I76" s="90">
        <v>130262</v>
      </c>
    </row>
    <row r="77" spans="1:9">
      <c r="A77" s="18" t="s">
        <v>65</v>
      </c>
      <c r="B77" s="90">
        <v>21271</v>
      </c>
      <c r="C77" s="90">
        <f>+'FY 23'!AE106+'FY 23'!AE107+'FY 23'!AE108</f>
        <v>30120.34</v>
      </c>
      <c r="D77" s="90">
        <v>61223</v>
      </c>
      <c r="E77" s="90">
        <v>61223</v>
      </c>
      <c r="F77" s="90">
        <v>61223</v>
      </c>
      <c r="G77" s="90">
        <v>61223</v>
      </c>
      <c r="H77" s="90">
        <v>61223</v>
      </c>
      <c r="I77" s="90">
        <v>61223</v>
      </c>
    </row>
    <row r="78" spans="1:9">
      <c r="A78" s="18" t="s">
        <v>66</v>
      </c>
      <c r="B78" s="90"/>
      <c r="C78" s="90">
        <f>+'FY 23'!AE54</f>
        <v>318523.81</v>
      </c>
      <c r="D78" s="90">
        <v>302109.32</v>
      </c>
      <c r="E78" s="164">
        <f>+D78*1.03</f>
        <v>311172.59960000002</v>
      </c>
      <c r="F78" s="164">
        <f>+E78*1.03</f>
        <v>320507.777588</v>
      </c>
      <c r="G78" s="164">
        <f>+F78*1.03</f>
        <v>330123.01091563998</v>
      </c>
      <c r="H78" s="164">
        <f>+G78*1.03</f>
        <v>340026.70124310919</v>
      </c>
      <c r="I78" s="164">
        <f>+H78*1.03</f>
        <v>350227.50228040246</v>
      </c>
    </row>
    <row r="79" spans="1:9">
      <c r="A79" s="18" t="s">
        <v>67</v>
      </c>
      <c r="B79" s="90">
        <v>60638.54</v>
      </c>
      <c r="C79" s="90">
        <f>+'FY 23'!AE55</f>
        <v>69391.570000000007</v>
      </c>
      <c r="D79" s="90">
        <v>60425</v>
      </c>
      <c r="E79" s="164">
        <f>+D79*1.03</f>
        <v>62237.75</v>
      </c>
      <c r="F79" s="91">
        <f>+E79*1.03</f>
        <v>64104.8825</v>
      </c>
      <c r="G79" s="91">
        <f>+F79*1.03</f>
        <v>66028.028975000008</v>
      </c>
      <c r="H79" s="91">
        <f>+G79*1.03</f>
        <v>68008.869844250017</v>
      </c>
      <c r="I79" s="91">
        <f>+H79*1.03</f>
        <v>70049.135939577522</v>
      </c>
    </row>
    <row r="80" spans="1:9">
      <c r="A80" s="18" t="s">
        <v>68</v>
      </c>
      <c r="B80" s="90">
        <v>49954.5</v>
      </c>
      <c r="C80" s="90">
        <f>+'FY 23'!AE60</f>
        <v>47699</v>
      </c>
      <c r="D80" s="90">
        <f>47863+350</f>
        <v>48213</v>
      </c>
      <c r="E80" s="91">
        <f>+'Remainder of FY 24 4.1.24'!AE57</f>
        <v>51731</v>
      </c>
      <c r="F80" s="91">
        <v>51731</v>
      </c>
      <c r="G80" s="91">
        <v>51731</v>
      </c>
      <c r="H80" s="91">
        <v>51731</v>
      </c>
      <c r="I80" s="91">
        <v>51731</v>
      </c>
    </row>
    <row r="81" spans="1:10">
      <c r="A81" s="18" t="s">
        <v>69</v>
      </c>
      <c r="B81" s="90">
        <v>13750</v>
      </c>
      <c r="C81" s="90">
        <v>13750</v>
      </c>
      <c r="D81" s="90">
        <v>13750</v>
      </c>
      <c r="E81" s="90">
        <f>+'Remainder of FY 24 4.1.24'!AE55</f>
        <v>14125</v>
      </c>
      <c r="F81" s="90">
        <v>14125</v>
      </c>
      <c r="G81" s="90">
        <v>14125</v>
      </c>
      <c r="H81" s="90">
        <v>14125</v>
      </c>
      <c r="I81" s="90">
        <v>14125</v>
      </c>
    </row>
    <row r="82" spans="1:10">
      <c r="A82" s="18" t="s">
        <v>70</v>
      </c>
      <c r="B82" s="90">
        <v>17118</v>
      </c>
      <c r="C82" s="90">
        <f>+'FY 23'!AE83</f>
        <v>22615</v>
      </c>
      <c r="D82" s="90">
        <v>12171.5</v>
      </c>
      <c r="E82" s="91">
        <f>+'Remainder of FY 24 4.1.24'!AE81</f>
        <v>13323</v>
      </c>
      <c r="F82" s="91">
        <v>13323</v>
      </c>
      <c r="G82" s="91">
        <v>13323</v>
      </c>
      <c r="H82" s="91">
        <v>13323</v>
      </c>
      <c r="I82" s="91">
        <v>13323</v>
      </c>
    </row>
    <row r="83" spans="1:10">
      <c r="A83" s="18" t="s">
        <v>71</v>
      </c>
      <c r="B83" s="90">
        <v>48307</v>
      </c>
      <c r="C83" s="90">
        <f>+'FY 23'!AE59</f>
        <v>53050</v>
      </c>
      <c r="D83" s="90">
        <v>56010</v>
      </c>
      <c r="E83" s="91">
        <v>48000</v>
      </c>
      <c r="F83" s="91">
        <v>48000</v>
      </c>
      <c r="G83" s="91">
        <v>48000</v>
      </c>
      <c r="H83" s="91">
        <v>48000</v>
      </c>
      <c r="I83" s="91">
        <v>48000</v>
      </c>
      <c r="J83" s="4">
        <f>4000*12</f>
        <v>48000</v>
      </c>
    </row>
    <row r="84" spans="1:10">
      <c r="A84" s="18" t="s">
        <v>72</v>
      </c>
      <c r="B84" s="90">
        <v>22952</v>
      </c>
      <c r="C84" s="90">
        <f>+'FY 23'!AE76</f>
        <v>9555.17</v>
      </c>
      <c r="D84" s="90">
        <v>12209</v>
      </c>
      <c r="E84" s="91">
        <f>+'Remainder of FY 24 4.1.24'!AE74</f>
        <v>33494.129999999997</v>
      </c>
      <c r="F84" s="91">
        <v>33494.129999999997</v>
      </c>
      <c r="G84" s="91">
        <v>33494.129999999997</v>
      </c>
      <c r="H84" s="91">
        <v>33494.129999999997</v>
      </c>
      <c r="I84" s="91">
        <v>33494.129999999997</v>
      </c>
    </row>
    <row r="85" spans="1:10">
      <c r="A85" s="18" t="s">
        <v>73</v>
      </c>
      <c r="B85" s="90">
        <f>786398.22-607515</f>
        <v>178883.21999999997</v>
      </c>
      <c r="C85" s="90">
        <f>1250879-1190708</f>
        <v>60171</v>
      </c>
      <c r="D85" s="90">
        <f>1280060.95-1238652</f>
        <v>41408.949999999953</v>
      </c>
      <c r="E85" s="91">
        <f>1248642-1245654</f>
        <v>2988</v>
      </c>
      <c r="F85" s="91">
        <v>2988</v>
      </c>
      <c r="G85" s="91">
        <v>2988</v>
      </c>
      <c r="H85" s="91">
        <v>2988</v>
      </c>
      <c r="I85" s="91">
        <v>2988</v>
      </c>
    </row>
    <row r="86" spans="1:10">
      <c r="A86" s="18" t="s">
        <v>74</v>
      </c>
      <c r="B86" s="90"/>
      <c r="C86" s="90"/>
      <c r="D86" s="90"/>
      <c r="E86" s="92"/>
      <c r="F86" s="92"/>
      <c r="G86" s="92"/>
      <c r="H86" s="92"/>
      <c r="I86" s="93"/>
    </row>
    <row r="87" spans="1:10">
      <c r="A87" s="18" t="s">
        <v>75</v>
      </c>
      <c r="B87" s="90"/>
      <c r="C87" s="90"/>
      <c r="D87" s="90"/>
      <c r="E87" s="92"/>
      <c r="F87" s="92"/>
      <c r="G87" s="92"/>
      <c r="H87" s="92"/>
      <c r="I87" s="93"/>
    </row>
    <row r="88" spans="1:10">
      <c r="A88" s="18" t="s">
        <v>76</v>
      </c>
      <c r="B88" s="90"/>
      <c r="C88" s="90">
        <f>+'FY 23'!AE51+'FY 23'!AE52</f>
        <v>128407.98</v>
      </c>
      <c r="D88" s="90">
        <v>38845.519999999997</v>
      </c>
      <c r="E88" s="90">
        <v>38845.519999999997</v>
      </c>
      <c r="F88" s="90">
        <v>38845.519999999997</v>
      </c>
      <c r="G88" s="90">
        <v>38845.519999999997</v>
      </c>
      <c r="H88" s="90">
        <v>38845.519999999997</v>
      </c>
      <c r="I88" s="90">
        <v>38845.519999999997</v>
      </c>
    </row>
    <row r="89" spans="1:10">
      <c r="A89" s="18" t="s">
        <v>77</v>
      </c>
      <c r="B89" s="90"/>
      <c r="C89" s="90">
        <f>+'FY 23'!AE56</f>
        <v>49564.78</v>
      </c>
      <c r="D89" s="90">
        <v>42570</v>
      </c>
      <c r="E89" s="90">
        <v>42570</v>
      </c>
      <c r="F89" s="90">
        <v>42570</v>
      </c>
      <c r="G89" s="90">
        <v>42570</v>
      </c>
      <c r="H89" s="90">
        <v>42570</v>
      </c>
      <c r="I89" s="90">
        <v>42570</v>
      </c>
    </row>
    <row r="90" spans="1:10">
      <c r="A90" s="18" t="s">
        <v>78</v>
      </c>
      <c r="B90" s="90">
        <v>48967.34</v>
      </c>
      <c r="C90" s="90">
        <f>+'FY 23'!AE82</f>
        <v>51647</v>
      </c>
      <c r="D90" s="90">
        <v>62496.25</v>
      </c>
      <c r="E90" s="90">
        <v>62496.25</v>
      </c>
      <c r="F90" s="90">
        <v>62496.25</v>
      </c>
      <c r="G90" s="90">
        <v>62496.25</v>
      </c>
      <c r="H90" s="90">
        <v>62496.25</v>
      </c>
      <c r="I90" s="90">
        <v>62496.25</v>
      </c>
    </row>
    <row r="91" spans="1:10">
      <c r="A91" s="18" t="s">
        <v>79</v>
      </c>
      <c r="B91" s="90"/>
      <c r="C91" s="90">
        <f>+'FY 23'!AE70+'FY 23'!AE71+'FY 23'!AE73+'FY 23'!AE74+'FY 23'!AE75+'FY 23'!AE81</f>
        <v>14690.55</v>
      </c>
      <c r="D91" s="90">
        <v>11640.75</v>
      </c>
      <c r="E91" s="90">
        <v>14690.55</v>
      </c>
      <c r="F91" s="90">
        <v>14690.55</v>
      </c>
      <c r="G91" s="90">
        <v>14690.55</v>
      </c>
      <c r="H91" s="90">
        <v>14690.55</v>
      </c>
      <c r="I91" s="90">
        <v>14690.55</v>
      </c>
    </row>
    <row r="92" spans="1:10" s="80" customFormat="1" ht="12.6" thickBot="1">
      <c r="A92" s="18" t="s">
        <v>80</v>
      </c>
      <c r="B92" s="94">
        <f>SUM(B74:B91)</f>
        <v>786398.1399999999</v>
      </c>
      <c r="C92" s="94">
        <f>SUM(C74:C91)</f>
        <v>1250878.9200000002</v>
      </c>
      <c r="D92" s="94">
        <f>SUM(D74:D91)</f>
        <v>1280060.69</v>
      </c>
      <c r="E92" s="95">
        <f>SUM(E74:E91)</f>
        <v>1093885.1996000002</v>
      </c>
      <c r="F92" s="95">
        <f>SUM(F74:F91)</f>
        <v>1105087.510088</v>
      </c>
      <c r="G92" s="95">
        <f>SUM(G74:G91)</f>
        <v>1116625.88989064</v>
      </c>
      <c r="H92" s="95">
        <f>SUM(H74:H91)</f>
        <v>1128510.4210873593</v>
      </c>
      <c r="I92" s="95">
        <f>SUM(I74:I91)</f>
        <v>1140751.4882199799</v>
      </c>
    </row>
    <row r="93" spans="1:10" s="80" customFormat="1" ht="12">
      <c r="A93" s="96"/>
      <c r="B93" s="97"/>
      <c r="C93" s="98"/>
      <c r="D93" s="98"/>
      <c r="E93" s="99"/>
      <c r="F93" s="99"/>
      <c r="G93" s="99"/>
      <c r="H93" s="99"/>
      <c r="I93" s="100"/>
    </row>
    <row r="94" spans="1:10" s="80" customFormat="1" ht="12">
      <c r="A94" s="101"/>
      <c r="B94" s="102"/>
      <c r="C94" s="98"/>
      <c r="D94" s="184"/>
      <c r="E94" s="103"/>
      <c r="F94" s="99"/>
      <c r="G94" s="99"/>
      <c r="H94" s="99"/>
      <c r="I94" s="100"/>
    </row>
    <row r="95" spans="1:10" ht="12.6" thickBot="1">
      <c r="A95" s="35" t="s">
        <v>81</v>
      </c>
      <c r="B95" s="104"/>
      <c r="C95" s="105"/>
      <c r="D95" s="105"/>
      <c r="E95" s="106"/>
      <c r="I95" s="27"/>
    </row>
    <row r="96" spans="1:10">
      <c r="A96" s="18" t="s">
        <v>82</v>
      </c>
      <c r="B96" s="107">
        <v>0</v>
      </c>
      <c r="C96" s="108"/>
      <c r="D96" s="109">
        <f>-(C40+C41)</f>
        <v>0</v>
      </c>
      <c r="E96" s="110">
        <f t="shared" ref="E96:I96" si="13">-(E40+E41)</f>
        <v>0</v>
      </c>
      <c r="F96" s="111">
        <f t="shared" si="13"/>
        <v>0</v>
      </c>
      <c r="G96" s="111">
        <f t="shared" si="13"/>
        <v>0</v>
      </c>
      <c r="H96" s="111">
        <f t="shared" si="13"/>
        <v>0</v>
      </c>
      <c r="I96" s="112">
        <f t="shared" si="13"/>
        <v>0</v>
      </c>
    </row>
    <row r="97" spans="1:9">
      <c r="A97" s="18" t="s">
        <v>83</v>
      </c>
      <c r="B97" s="113">
        <f>IFERROR((#REF!+SUM(#REF!))/B96,0)</f>
        <v>0</v>
      </c>
      <c r="C97" s="114">
        <f>IFERROR((#REF!+SUM(#REF!))/C96,0)</f>
        <v>0</v>
      </c>
      <c r="D97" s="115">
        <f>IFERROR((C31+SUM(C34:C38))/D96,0)</f>
        <v>0</v>
      </c>
      <c r="E97" s="116">
        <f t="shared" ref="E97:I97" si="14">IFERROR((E31+SUM(E34:E38))/E96,0)</f>
        <v>0</v>
      </c>
      <c r="F97" s="117">
        <f t="shared" si="14"/>
        <v>0</v>
      </c>
      <c r="G97" s="117">
        <f t="shared" si="14"/>
        <v>0</v>
      </c>
      <c r="H97" s="117">
        <f t="shared" si="14"/>
        <v>0</v>
      </c>
      <c r="I97" s="118">
        <f t="shared" si="14"/>
        <v>0</v>
      </c>
    </row>
    <row r="98" spans="1:9">
      <c r="A98" s="18" t="s">
        <v>84</v>
      </c>
      <c r="B98" s="119">
        <v>-5.1799999999999999E-2</v>
      </c>
      <c r="C98" s="120">
        <f>IFERROR((#REF!/#REF!)-1,0)</f>
        <v>0</v>
      </c>
      <c r="D98" s="121">
        <f>IFERROR((B68/#REF!)-1,0)</f>
        <v>0</v>
      </c>
      <c r="E98" s="122">
        <f>IFERROR((E68/B68)-1,0)</f>
        <v>-0.33175355450236965</v>
      </c>
      <c r="F98" s="123">
        <f t="shared" ref="F98:I98" si="15">IFERROR((F68/E68)-1,0)</f>
        <v>3.0000000000000027E-2</v>
      </c>
      <c r="G98" s="123">
        <f t="shared" si="15"/>
        <v>3.0000000000000027E-2</v>
      </c>
      <c r="H98" s="123">
        <f t="shared" si="15"/>
        <v>3.0000000000000027E-2</v>
      </c>
      <c r="I98" s="124">
        <f t="shared" si="15"/>
        <v>3.0000000000000027E-2</v>
      </c>
    </row>
    <row r="99" spans="1:9">
      <c r="A99" s="18" t="s">
        <v>85</v>
      </c>
      <c r="B99" s="119">
        <f>IFERROR((#REF!/#REF!)-1,0)</f>
        <v>0</v>
      </c>
      <c r="C99" s="120">
        <v>-1</v>
      </c>
      <c r="D99" s="121">
        <f>IFERROR((C24/#REF!)-1,0)</f>
        <v>0</v>
      </c>
      <c r="E99" s="122">
        <f>IFERROR((E24/C24)-1,0)</f>
        <v>0</v>
      </c>
      <c r="F99" s="123">
        <f t="shared" ref="F99:I99" si="16">IFERROR((F24/E24)-1,0)</f>
        <v>-1</v>
      </c>
      <c r="G99" s="123">
        <f t="shared" si="16"/>
        <v>0</v>
      </c>
      <c r="H99" s="123">
        <f t="shared" si="16"/>
        <v>0</v>
      </c>
      <c r="I99" s="124">
        <f t="shared" si="16"/>
        <v>0</v>
      </c>
    </row>
    <row r="100" spans="1:9">
      <c r="A100" s="18" t="s">
        <v>86</v>
      </c>
      <c r="B100" s="119">
        <v>-1.6899999999999998E-2</v>
      </c>
      <c r="C100" s="120">
        <v>7.2599999999999998E-2</v>
      </c>
      <c r="D100" s="121">
        <f>IFERROR((C17/#REF!)-1,0)</f>
        <v>0</v>
      </c>
      <c r="E100" s="122">
        <f>IFERROR((E17/C17)-1,0)</f>
        <v>-0.27586139597390236</v>
      </c>
      <c r="F100" s="123">
        <f t="shared" ref="F100:I100" si="17">IFERROR((F17/E17)-1,0)</f>
        <v>-1.9943730518258707E-2</v>
      </c>
      <c r="G100" s="123">
        <f t="shared" si="17"/>
        <v>2.8589050605409172E-2</v>
      </c>
      <c r="H100" s="123">
        <f t="shared" si="17"/>
        <v>2.8628267145406339E-2</v>
      </c>
      <c r="I100" s="124">
        <f t="shared" si="17"/>
        <v>2.8666444527719825E-2</v>
      </c>
    </row>
    <row r="101" spans="1:9">
      <c r="A101" s="18" t="s">
        <v>87</v>
      </c>
      <c r="B101" s="119">
        <v>6.9478</v>
      </c>
      <c r="C101" s="120">
        <v>-1.7766</v>
      </c>
      <c r="D101" s="121">
        <f>IFERROR((C44/#REF!)-1,0)</f>
        <v>0</v>
      </c>
      <c r="E101" s="122">
        <f>IFERROR((E44/C44)-1,0)</f>
        <v>0.96688802234709703</v>
      </c>
      <c r="F101" s="123">
        <f t="shared" ref="F101:I101" si="18">IFERROR((F44/E44)-1,0)</f>
        <v>-0.43485923559722905</v>
      </c>
      <c r="G101" s="123">
        <f t="shared" si="18"/>
        <v>2.4479072240111366E-2</v>
      </c>
      <c r="H101" s="123">
        <f t="shared" si="18"/>
        <v>2.4610990200300886E-2</v>
      </c>
      <c r="I101" s="124">
        <f t="shared" si="18"/>
        <v>2.474043334373599E-2</v>
      </c>
    </row>
    <row r="102" spans="1:9" ht="12" thickBot="1">
      <c r="A102" s="125" t="s">
        <v>88</v>
      </c>
      <c r="B102" s="126">
        <v>0.56000000000000005</v>
      </c>
      <c r="C102" s="127">
        <v>0.68</v>
      </c>
      <c r="D102" s="128">
        <f>IFERROR(C51/(C28+SUM(C40:C41)/365),0)</f>
        <v>1.0246206127418327</v>
      </c>
      <c r="E102" s="129">
        <f t="shared" ref="E102:I102" si="19">IFERROR(E51/(E28+SUM(E40:E41)/365),0)</f>
        <v>1.3319112111004876</v>
      </c>
      <c r="F102" s="130">
        <f t="shared" si="19"/>
        <v>2.0722491582897464</v>
      </c>
      <c r="G102" s="130">
        <f t="shared" si="19"/>
        <v>2.280034211592405</v>
      </c>
      <c r="H102" s="130">
        <f t="shared" si="19"/>
        <v>2.5016176007640607</v>
      </c>
      <c r="I102" s="131">
        <f t="shared" si="19"/>
        <v>2.7369160651815791</v>
      </c>
    </row>
    <row r="103" spans="1:9">
      <c r="I103" s="26"/>
    </row>
    <row r="104" spans="1:9" ht="12.6" thickBot="1">
      <c r="A104" s="132" t="s">
        <v>89</v>
      </c>
      <c r="I104" s="26"/>
    </row>
    <row r="105" spans="1:9" ht="12">
      <c r="A105" s="133"/>
      <c r="B105" s="213" t="s">
        <v>90</v>
      </c>
      <c r="C105" s="214"/>
      <c r="D105" s="214"/>
      <c r="E105" s="214"/>
      <c r="F105" s="214"/>
      <c r="G105" s="215"/>
      <c r="H105" s="134"/>
      <c r="I105" s="134"/>
    </row>
    <row r="106" spans="1:9" ht="12.6" thickBot="1">
      <c r="A106" s="133"/>
      <c r="B106" s="216"/>
      <c r="C106" s="217"/>
      <c r="D106" s="217"/>
      <c r="E106" s="217"/>
      <c r="F106" s="217"/>
      <c r="G106" s="218"/>
      <c r="H106" s="134"/>
      <c r="I106" s="134"/>
    </row>
    <row r="107" spans="1:9" ht="28.9">
      <c r="A107" s="133"/>
      <c r="B107" s="135" t="s">
        <v>91</v>
      </c>
      <c r="C107" s="136" t="s">
        <v>92</v>
      </c>
      <c r="D107" s="136" t="s">
        <v>93</v>
      </c>
      <c r="E107" s="136" t="s">
        <v>94</v>
      </c>
      <c r="F107" s="137" t="s">
        <v>95</v>
      </c>
      <c r="G107" s="138" t="s">
        <v>96</v>
      </c>
      <c r="H107" s="139"/>
      <c r="I107" s="139"/>
    </row>
    <row r="108" spans="1:9" ht="14.45">
      <c r="A108" s="133"/>
      <c r="B108" s="140" t="s">
        <v>97</v>
      </c>
      <c r="C108" s="141">
        <v>0</v>
      </c>
      <c r="D108" s="141">
        <v>0</v>
      </c>
      <c r="E108" s="141">
        <v>0</v>
      </c>
      <c r="F108" s="141">
        <v>0</v>
      </c>
      <c r="G108" s="142"/>
      <c r="H108" s="143"/>
      <c r="I108" s="144"/>
    </row>
    <row r="109" spans="1:9" ht="28.9">
      <c r="A109" s="133"/>
      <c r="B109" s="145" t="s">
        <v>98</v>
      </c>
      <c r="C109" s="146">
        <v>1400000</v>
      </c>
      <c r="D109" s="146">
        <v>-50400</v>
      </c>
      <c r="E109" s="146">
        <f>-9500*12</f>
        <v>-114000</v>
      </c>
      <c r="F109" s="147">
        <f>+C109+D109</f>
        <v>1349600</v>
      </c>
      <c r="G109" s="148" t="s">
        <v>98</v>
      </c>
      <c r="H109" s="143"/>
      <c r="I109" s="144"/>
    </row>
    <row r="110" spans="1:9" ht="14.45">
      <c r="A110" s="133"/>
      <c r="B110" s="140" t="s">
        <v>99</v>
      </c>
      <c r="C110" s="149">
        <v>0</v>
      </c>
      <c r="D110" s="149">
        <v>0</v>
      </c>
      <c r="E110" s="149">
        <v>0</v>
      </c>
      <c r="F110" s="147">
        <f>+C110+D110</f>
        <v>0</v>
      </c>
      <c r="G110" s="142"/>
      <c r="H110" s="200"/>
      <c r="I110" s="201"/>
    </row>
    <row r="111" spans="1:9" ht="14.45">
      <c r="A111" s="133"/>
      <c r="B111" s="145" t="s">
        <v>100</v>
      </c>
      <c r="C111" s="146">
        <v>0</v>
      </c>
      <c r="D111" s="146">
        <v>0</v>
      </c>
      <c r="E111" s="146">
        <v>0</v>
      </c>
      <c r="F111" s="147">
        <v>0</v>
      </c>
      <c r="G111" s="150"/>
      <c r="H111" s="200"/>
      <c r="I111" s="201"/>
    </row>
    <row r="112" spans="1:9" ht="14.45">
      <c r="A112" s="133"/>
      <c r="B112" s="140" t="s">
        <v>101</v>
      </c>
      <c r="C112" s="149">
        <v>0</v>
      </c>
      <c r="D112" s="149">
        <v>0</v>
      </c>
      <c r="E112" s="149">
        <v>0</v>
      </c>
      <c r="F112" s="141">
        <v>0</v>
      </c>
      <c r="G112" s="142"/>
      <c r="H112" s="200"/>
      <c r="I112" s="201"/>
    </row>
    <row r="113" spans="1:9" ht="14.45">
      <c r="A113" s="133"/>
      <c r="B113" s="145" t="s">
        <v>102</v>
      </c>
      <c r="C113" s="146">
        <v>0</v>
      </c>
      <c r="D113" s="146">
        <v>0</v>
      </c>
      <c r="E113" s="146">
        <v>0</v>
      </c>
      <c r="F113" s="147">
        <f>+C113+D113</f>
        <v>0</v>
      </c>
      <c r="G113" s="150"/>
      <c r="H113" s="200"/>
      <c r="I113" s="201"/>
    </row>
    <row r="114" spans="1:9" ht="43.9" thickBot="1">
      <c r="A114" s="133"/>
      <c r="B114" s="151" t="s">
        <v>103</v>
      </c>
      <c r="C114" s="152">
        <v>0</v>
      </c>
      <c r="D114" s="152">
        <v>0</v>
      </c>
      <c r="E114" s="152">
        <v>0</v>
      </c>
      <c r="F114" s="153">
        <v>0</v>
      </c>
      <c r="G114" s="154"/>
      <c r="H114" s="200"/>
      <c r="I114" s="201"/>
    </row>
    <row r="115" spans="1:9" ht="15" thickBot="1">
      <c r="A115" s="133"/>
      <c r="B115" s="155"/>
      <c r="C115" s="156"/>
      <c r="D115" s="156"/>
      <c r="E115" s="156"/>
      <c r="F115" s="157"/>
      <c r="G115" s="158"/>
      <c r="H115" s="26"/>
      <c r="I115" s="26"/>
    </row>
    <row r="116" spans="1:9" ht="15" thickBot="1">
      <c r="A116" s="133"/>
      <c r="B116" s="159" t="s">
        <v>80</v>
      </c>
      <c r="C116" s="160">
        <f>SUM(C108:C114)</f>
        <v>1400000</v>
      </c>
      <c r="D116" s="160">
        <f t="shared" ref="D116:F116" si="20">SUM(D108:D114)</f>
        <v>-50400</v>
      </c>
      <c r="E116" s="160">
        <f t="shared" si="20"/>
        <v>-114000</v>
      </c>
      <c r="F116" s="161">
        <f t="shared" si="20"/>
        <v>1349600</v>
      </c>
      <c r="G116" s="158"/>
      <c r="H116" s="26"/>
      <c r="I116" s="26"/>
    </row>
    <row r="117" spans="1:9">
      <c r="A117" s="133"/>
      <c r="E117" s="26"/>
      <c r="F117" s="26"/>
      <c r="G117" s="26"/>
      <c r="H117" s="26"/>
      <c r="I117" s="26"/>
    </row>
    <row r="118" spans="1:9" ht="13.15">
      <c r="A118" s="11" t="s">
        <v>89</v>
      </c>
      <c r="E118" s="26"/>
      <c r="F118" s="26"/>
      <c r="G118" s="26"/>
      <c r="H118" s="26"/>
      <c r="I118" s="26"/>
    </row>
    <row r="119" spans="1:9">
      <c r="A119" s="133" t="s">
        <v>104</v>
      </c>
      <c r="B119" s="4" t="s">
        <v>105</v>
      </c>
    </row>
    <row r="120" spans="1:9">
      <c r="A120" s="133"/>
      <c r="B120" s="4" t="s">
        <v>106</v>
      </c>
    </row>
    <row r="121" spans="1:9">
      <c r="A121" s="220" t="s">
        <v>107</v>
      </c>
      <c r="B121" s="219" t="s">
        <v>108</v>
      </c>
      <c r="C121" s="219"/>
      <c r="D121" s="219"/>
      <c r="E121" s="219"/>
      <c r="F121" s="219"/>
      <c r="G121" s="219"/>
      <c r="H121" s="219"/>
      <c r="I121" s="219"/>
    </row>
    <row r="122" spans="1:9" ht="19.899999999999999" customHeight="1">
      <c r="A122" s="220"/>
      <c r="B122" s="219" t="s">
        <v>109</v>
      </c>
      <c r="C122" s="219"/>
      <c r="D122" s="219"/>
      <c r="E122" s="219"/>
      <c r="F122" s="219"/>
      <c r="G122" s="219"/>
      <c r="H122" s="219"/>
      <c r="I122" s="219"/>
    </row>
    <row r="123" spans="1:9" ht="19.899999999999999" customHeight="1">
      <c r="A123" s="165"/>
      <c r="B123" s="219"/>
      <c r="C123" s="219"/>
      <c r="D123" s="219"/>
      <c r="E123" s="219"/>
      <c r="F123" s="219"/>
      <c r="G123" s="219"/>
      <c r="H123" s="219"/>
      <c r="I123" s="219"/>
    </row>
    <row r="124" spans="1:9">
      <c r="A124" s="133" t="s">
        <v>110</v>
      </c>
      <c r="B124" s="4" t="s">
        <v>111</v>
      </c>
      <c r="F124" s="26"/>
      <c r="G124" s="26"/>
      <c r="H124" s="26"/>
      <c r="I124" s="26"/>
    </row>
    <row r="125" spans="1:9">
      <c r="A125" s="133" t="s">
        <v>112</v>
      </c>
      <c r="B125" s="4" t="s">
        <v>113</v>
      </c>
      <c r="F125" s="26"/>
      <c r="G125" s="26"/>
      <c r="H125" s="26"/>
      <c r="I125" s="26"/>
    </row>
    <row r="126" spans="1:9">
      <c r="A126" s="133" t="s">
        <v>114</v>
      </c>
      <c r="B126" s="4" t="s">
        <v>115</v>
      </c>
      <c r="F126" s="26"/>
      <c r="G126" s="26"/>
      <c r="H126" s="26"/>
      <c r="I126" s="26"/>
    </row>
    <row r="127" spans="1:9">
      <c r="A127" s="133" t="s">
        <v>116</v>
      </c>
      <c r="B127" s="4" t="s">
        <v>117</v>
      </c>
      <c r="F127" s="26"/>
      <c r="G127" s="26"/>
      <c r="H127" s="26"/>
      <c r="I127" s="26"/>
    </row>
    <row r="128" spans="1:9">
      <c r="A128" s="133" t="s">
        <v>118</v>
      </c>
      <c r="B128" s="219" t="s">
        <v>119</v>
      </c>
      <c r="C128" s="219"/>
      <c r="D128" s="219"/>
      <c r="E128" s="219"/>
      <c r="F128" s="219"/>
      <c r="G128" s="219"/>
      <c r="H128" s="219"/>
      <c r="I128" s="219"/>
    </row>
    <row r="129" spans="1:10">
      <c r="A129" s="133" t="s">
        <v>120</v>
      </c>
      <c r="B129" s="219" t="s">
        <v>121</v>
      </c>
      <c r="C129" s="219"/>
      <c r="D129" s="219"/>
      <c r="E129" s="219"/>
      <c r="F129" s="219"/>
      <c r="G129" s="219"/>
      <c r="H129" s="219"/>
      <c r="I129" s="219"/>
    </row>
    <row r="130" spans="1:10">
      <c r="A130" s="133" t="s">
        <v>122</v>
      </c>
      <c r="B130" s="219" t="s">
        <v>123</v>
      </c>
      <c r="C130" s="219"/>
      <c r="D130" s="219"/>
      <c r="E130" s="219"/>
      <c r="F130" s="219"/>
      <c r="G130" s="219"/>
      <c r="H130" s="219"/>
      <c r="I130" s="219"/>
    </row>
    <row r="131" spans="1:10">
      <c r="A131" s="133" t="s">
        <v>124</v>
      </c>
      <c r="B131" s="219"/>
      <c r="C131" s="219"/>
      <c r="D131" s="219"/>
      <c r="E131" s="219"/>
      <c r="F131" s="219"/>
      <c r="G131" s="219"/>
      <c r="H131" s="219"/>
      <c r="I131" s="219"/>
    </row>
    <row r="132" spans="1:10" hidden="1">
      <c r="E132" s="26"/>
      <c r="F132" s="26"/>
      <c r="G132" s="26"/>
      <c r="H132" s="26"/>
      <c r="I132" s="26"/>
    </row>
    <row r="133" spans="1:10" hidden="1">
      <c r="E133" s="26"/>
      <c r="F133" s="26"/>
      <c r="G133" s="26"/>
      <c r="H133" s="26"/>
      <c r="I133" s="26"/>
    </row>
    <row r="134" spans="1:10" hidden="1">
      <c r="E134" s="26"/>
      <c r="F134" s="26"/>
      <c r="G134" s="26"/>
      <c r="H134" s="26"/>
      <c r="I134" s="26"/>
    </row>
    <row r="135" spans="1:10" ht="12">
      <c r="A135" s="4" t="s">
        <v>125</v>
      </c>
      <c r="B135" s="4" t="s">
        <v>126</v>
      </c>
      <c r="C135" s="6"/>
      <c r="D135" s="6"/>
      <c r="E135" s="162"/>
      <c r="F135" s="162"/>
      <c r="G135" s="162"/>
      <c r="H135" s="162"/>
      <c r="I135" s="162"/>
      <c r="J135" s="6"/>
    </row>
    <row r="136" spans="1:10" ht="12">
      <c r="B136" s="6"/>
      <c r="C136" s="6"/>
      <c r="D136" s="6"/>
      <c r="E136" s="162"/>
      <c r="F136" s="162"/>
      <c r="G136" s="162"/>
      <c r="H136" s="162"/>
      <c r="I136" s="162"/>
      <c r="J136" s="6"/>
    </row>
    <row r="137" spans="1:10">
      <c r="A137" s="4" t="s">
        <v>127</v>
      </c>
      <c r="E137" s="26"/>
      <c r="F137" s="26"/>
      <c r="G137" s="26"/>
      <c r="H137" s="26"/>
      <c r="I137" s="26"/>
    </row>
    <row r="138" spans="1:10">
      <c r="B138" s="4" t="s">
        <v>128</v>
      </c>
      <c r="E138" s="26"/>
      <c r="F138" s="26"/>
      <c r="G138" s="26"/>
      <c r="H138" s="26"/>
      <c r="I138" s="26"/>
    </row>
    <row r="139" spans="1:10">
      <c r="A139" s="4" t="s">
        <v>129</v>
      </c>
      <c r="B139" s="4" t="s">
        <v>130</v>
      </c>
      <c r="E139" s="26"/>
      <c r="F139" s="26"/>
      <c r="G139" s="26"/>
      <c r="H139" s="26"/>
      <c r="I139" s="26"/>
    </row>
    <row r="140" spans="1:10">
      <c r="B140" s="4" t="s">
        <v>131</v>
      </c>
      <c r="E140" s="26"/>
      <c r="F140" s="26"/>
      <c r="G140" s="26"/>
      <c r="H140" s="26"/>
      <c r="I140" s="26"/>
    </row>
    <row r="141" spans="1:10">
      <c r="B141" s="4" t="s">
        <v>132</v>
      </c>
      <c r="E141" s="26"/>
      <c r="F141" s="26"/>
      <c r="G141" s="26"/>
      <c r="H141" s="26"/>
      <c r="I141" s="26"/>
    </row>
    <row r="142" spans="1:10">
      <c r="E142" s="26"/>
      <c r="F142" s="26"/>
      <c r="G142" s="26"/>
      <c r="H142" s="26"/>
      <c r="I142" s="26"/>
    </row>
    <row r="143" spans="1:10">
      <c r="E143" s="26"/>
      <c r="F143" s="26"/>
      <c r="G143" s="26"/>
      <c r="H143" s="26"/>
      <c r="I143" s="26"/>
    </row>
    <row r="144" spans="1:10">
      <c r="A144" s="4" t="s">
        <v>133</v>
      </c>
      <c r="E144" s="26"/>
      <c r="F144" s="26"/>
      <c r="G144" s="26"/>
      <c r="H144" s="26"/>
      <c r="I144" s="26"/>
    </row>
    <row r="145" spans="1:9">
      <c r="B145" s="163"/>
      <c r="E145" s="26"/>
      <c r="F145" s="26"/>
      <c r="G145" s="26"/>
      <c r="H145" s="26"/>
      <c r="I145" s="26"/>
    </row>
    <row r="146" spans="1:9">
      <c r="A146" s="4" t="s">
        <v>134</v>
      </c>
      <c r="B146" s="163">
        <f>+E28/E68</f>
        <v>16686.35066099291</v>
      </c>
      <c r="E146" s="26"/>
      <c r="F146" s="26"/>
      <c r="G146" s="26"/>
      <c r="H146" s="26"/>
      <c r="I146" s="26"/>
    </row>
    <row r="147" spans="1:9">
      <c r="A147" s="4" t="s">
        <v>135</v>
      </c>
      <c r="B147" s="163">
        <f>+F28/F68</f>
        <v>14660.985308545065</v>
      </c>
      <c r="E147" s="26"/>
      <c r="F147" s="26"/>
      <c r="G147" s="26"/>
      <c r="H147" s="26"/>
      <c r="I147" s="26"/>
    </row>
    <row r="148" spans="1:9">
      <c r="A148" s="4" t="s">
        <v>136</v>
      </c>
      <c r="B148" s="163">
        <f>+H28/H68</f>
        <v>14175.170562906609</v>
      </c>
      <c r="E148" s="26"/>
      <c r="F148" s="26"/>
      <c r="G148" s="26"/>
      <c r="H148" s="26"/>
      <c r="I148" s="26"/>
    </row>
    <row r="149" spans="1:9">
      <c r="A149" s="4" t="s">
        <v>137</v>
      </c>
      <c r="B149" s="163">
        <f>+H28/H68</f>
        <v>14175.170562906609</v>
      </c>
      <c r="E149" s="26"/>
      <c r="F149" s="26"/>
      <c r="G149" s="26"/>
      <c r="H149" s="26"/>
      <c r="I149" s="26"/>
    </row>
    <row r="150" spans="1:9">
      <c r="A150" s="4" t="s">
        <v>138</v>
      </c>
      <c r="B150" s="163">
        <f>+I28/I68</f>
        <v>13941.327529120652</v>
      </c>
      <c r="E150" s="26"/>
      <c r="F150" s="26"/>
      <c r="G150" s="26"/>
      <c r="H150" s="26"/>
      <c r="I150" s="26"/>
    </row>
    <row r="151" spans="1:9">
      <c r="E151" s="26"/>
      <c r="F151" s="26"/>
      <c r="G151" s="26"/>
      <c r="H151" s="26"/>
      <c r="I151" s="26"/>
    </row>
    <row r="152" spans="1:9">
      <c r="E152" s="26"/>
      <c r="F152" s="26"/>
      <c r="G152" s="26"/>
      <c r="H152" s="26"/>
      <c r="I152" s="26"/>
    </row>
    <row r="153" spans="1:9">
      <c r="E153" s="26"/>
      <c r="F153" s="26"/>
      <c r="G153" s="26"/>
      <c r="H153" s="26"/>
      <c r="I153" s="26"/>
    </row>
    <row r="154" spans="1:9">
      <c r="E154" s="26"/>
      <c r="F154" s="26"/>
      <c r="G154" s="26"/>
      <c r="H154" s="26"/>
      <c r="I154" s="26"/>
    </row>
    <row r="155" spans="1:9">
      <c r="E155" s="26"/>
      <c r="F155" s="26"/>
      <c r="G155" s="26"/>
      <c r="H155" s="26"/>
      <c r="I155" s="26"/>
    </row>
    <row r="156" spans="1:9">
      <c r="E156" s="26"/>
      <c r="F156" s="26"/>
      <c r="G156" s="26"/>
      <c r="H156" s="26"/>
      <c r="I156" s="26"/>
    </row>
    <row r="157" spans="1:9">
      <c r="E157" s="26"/>
      <c r="F157" s="26"/>
      <c r="G157" s="26"/>
      <c r="H157" s="26"/>
      <c r="I157" s="26"/>
    </row>
    <row r="158" spans="1:9">
      <c r="E158" s="26"/>
      <c r="F158" s="26"/>
      <c r="G158" s="26"/>
      <c r="H158" s="26"/>
      <c r="I158" s="26"/>
    </row>
    <row r="159" spans="1:9">
      <c r="E159" s="26"/>
      <c r="F159" s="26"/>
      <c r="G159" s="26"/>
      <c r="H159" s="26"/>
      <c r="I159" s="26"/>
    </row>
    <row r="160" spans="1:9">
      <c r="E160" s="26"/>
      <c r="F160" s="26"/>
      <c r="G160" s="26"/>
      <c r="H160" s="26"/>
      <c r="I160" s="26"/>
    </row>
    <row r="161" spans="5:9">
      <c r="E161" s="26"/>
      <c r="F161" s="26"/>
      <c r="G161" s="26"/>
      <c r="H161" s="26"/>
      <c r="I161" s="26"/>
    </row>
    <row r="162" spans="5:9">
      <c r="E162" s="26"/>
      <c r="F162" s="26"/>
      <c r="G162" s="26"/>
      <c r="H162" s="26"/>
      <c r="I162" s="26"/>
    </row>
    <row r="163" spans="5:9">
      <c r="E163" s="26"/>
      <c r="F163" s="26"/>
      <c r="G163" s="26"/>
      <c r="H163" s="26"/>
      <c r="I163" s="26"/>
    </row>
    <row r="164" spans="5:9">
      <c r="E164" s="26"/>
      <c r="F164" s="26"/>
      <c r="G164" s="26"/>
      <c r="H164" s="26"/>
      <c r="I164" s="26"/>
    </row>
    <row r="165" spans="5:9">
      <c r="E165" s="26"/>
      <c r="F165" s="26"/>
      <c r="G165" s="26"/>
      <c r="H165" s="26"/>
      <c r="I165" s="26"/>
    </row>
    <row r="166" spans="5:9">
      <c r="E166" s="26"/>
      <c r="F166" s="26"/>
      <c r="G166" s="26"/>
      <c r="H166" s="26"/>
      <c r="I166" s="26"/>
    </row>
    <row r="167" spans="5:9">
      <c r="E167" s="26"/>
      <c r="F167" s="26"/>
      <c r="G167" s="26"/>
      <c r="H167" s="26"/>
      <c r="I167" s="26"/>
    </row>
    <row r="168" spans="5:9">
      <c r="E168" s="26"/>
      <c r="F168" s="26"/>
      <c r="G168" s="26"/>
      <c r="H168" s="26"/>
      <c r="I168" s="26"/>
    </row>
    <row r="169" spans="5:9">
      <c r="E169" s="26"/>
      <c r="F169" s="26"/>
      <c r="G169" s="26"/>
      <c r="H169" s="26"/>
      <c r="I169" s="26"/>
    </row>
    <row r="170" spans="5:9">
      <c r="E170" s="26"/>
      <c r="F170" s="26"/>
      <c r="G170" s="26"/>
      <c r="H170" s="26"/>
      <c r="I170" s="26"/>
    </row>
    <row r="171" spans="5:9">
      <c r="E171" s="26"/>
      <c r="F171" s="26"/>
      <c r="G171" s="26"/>
      <c r="H171" s="26"/>
      <c r="I171" s="26"/>
    </row>
    <row r="172" spans="5:9">
      <c r="E172" s="26"/>
      <c r="F172" s="26"/>
      <c r="G172" s="26"/>
      <c r="H172" s="26"/>
      <c r="I172" s="26"/>
    </row>
    <row r="173" spans="5:9">
      <c r="E173" s="26"/>
      <c r="F173" s="26"/>
      <c r="G173" s="26"/>
      <c r="H173" s="26"/>
      <c r="I173" s="26"/>
    </row>
    <row r="174" spans="5:9">
      <c r="E174" s="26"/>
      <c r="F174" s="26"/>
      <c r="G174" s="26"/>
      <c r="H174" s="26"/>
      <c r="I174" s="26"/>
    </row>
    <row r="175" spans="5:9">
      <c r="E175" s="26"/>
      <c r="F175" s="26"/>
      <c r="G175" s="26"/>
      <c r="H175" s="26"/>
      <c r="I175" s="26"/>
    </row>
    <row r="176" spans="5:9">
      <c r="E176" s="26"/>
      <c r="F176" s="26"/>
      <c r="G176" s="26"/>
      <c r="H176" s="26"/>
      <c r="I176" s="26"/>
    </row>
    <row r="177" spans="5:9">
      <c r="E177" s="26"/>
      <c r="F177" s="26"/>
      <c r="G177" s="26"/>
      <c r="H177" s="26"/>
      <c r="I177" s="26"/>
    </row>
    <row r="178" spans="5:9">
      <c r="E178" s="26"/>
      <c r="F178" s="26"/>
      <c r="G178" s="26"/>
      <c r="H178" s="26"/>
      <c r="I178" s="26"/>
    </row>
    <row r="179" spans="5:9">
      <c r="E179" s="26"/>
      <c r="F179" s="26"/>
      <c r="G179" s="26"/>
      <c r="H179" s="26"/>
      <c r="I179" s="26"/>
    </row>
    <row r="180" spans="5:9">
      <c r="E180" s="26"/>
      <c r="F180" s="26"/>
      <c r="G180" s="26"/>
      <c r="H180" s="26"/>
      <c r="I180" s="26"/>
    </row>
    <row r="181" spans="5:9">
      <c r="E181" s="26"/>
      <c r="F181" s="26"/>
      <c r="G181" s="26"/>
      <c r="H181" s="26"/>
      <c r="I181" s="26"/>
    </row>
    <row r="182" spans="5:9">
      <c r="E182" s="26"/>
      <c r="F182" s="26"/>
      <c r="G182" s="26"/>
      <c r="H182" s="26"/>
      <c r="I182" s="26"/>
    </row>
    <row r="183" spans="5:9">
      <c r="E183" s="26"/>
      <c r="F183" s="26"/>
      <c r="G183" s="26"/>
      <c r="H183" s="26"/>
      <c r="I183" s="26"/>
    </row>
    <row r="184" spans="5:9">
      <c r="E184" s="26"/>
      <c r="F184" s="26"/>
      <c r="G184" s="26"/>
      <c r="H184" s="26"/>
      <c r="I184" s="26"/>
    </row>
    <row r="185" spans="5:9">
      <c r="E185" s="26"/>
      <c r="F185" s="26"/>
      <c r="G185" s="26"/>
      <c r="H185" s="26"/>
      <c r="I185" s="26"/>
    </row>
    <row r="186" spans="5:9">
      <c r="E186" s="26"/>
      <c r="F186" s="26"/>
      <c r="G186" s="26"/>
      <c r="H186" s="26"/>
      <c r="I186" s="26"/>
    </row>
    <row r="187" spans="5:9">
      <c r="E187" s="26"/>
      <c r="F187" s="26"/>
      <c r="G187" s="26"/>
      <c r="H187" s="26"/>
      <c r="I187" s="26"/>
    </row>
    <row r="188" spans="5:9">
      <c r="E188" s="26"/>
      <c r="F188" s="26"/>
      <c r="G188" s="26"/>
      <c r="H188" s="26"/>
      <c r="I188" s="26"/>
    </row>
    <row r="189" spans="5:9">
      <c r="E189" s="26"/>
      <c r="F189" s="26"/>
      <c r="G189" s="26"/>
      <c r="H189" s="26"/>
      <c r="I189" s="26"/>
    </row>
    <row r="190" spans="5:9">
      <c r="E190" s="26"/>
      <c r="F190" s="26"/>
      <c r="G190" s="26"/>
      <c r="H190" s="26"/>
      <c r="I190" s="26"/>
    </row>
    <row r="191" spans="5:9">
      <c r="E191" s="26"/>
      <c r="F191" s="26"/>
      <c r="G191" s="26"/>
      <c r="H191" s="26"/>
      <c r="I191" s="26"/>
    </row>
    <row r="192" spans="5:9">
      <c r="E192" s="26"/>
      <c r="F192" s="26"/>
      <c r="G192" s="26"/>
      <c r="H192" s="26"/>
      <c r="I192" s="26"/>
    </row>
    <row r="193" spans="5:9">
      <c r="E193" s="26"/>
      <c r="F193" s="26"/>
      <c r="G193" s="26"/>
      <c r="H193" s="26"/>
      <c r="I193" s="26"/>
    </row>
    <row r="194" spans="5:9">
      <c r="E194" s="26"/>
      <c r="F194" s="26"/>
      <c r="G194" s="26"/>
      <c r="H194" s="26"/>
      <c r="I194" s="26"/>
    </row>
    <row r="195" spans="5:9">
      <c r="E195" s="26"/>
      <c r="F195" s="26"/>
      <c r="G195" s="26"/>
      <c r="H195" s="26"/>
      <c r="I195" s="26"/>
    </row>
    <row r="196" spans="5:9">
      <c r="E196" s="26"/>
      <c r="F196" s="26"/>
      <c r="G196" s="26"/>
      <c r="H196" s="26"/>
      <c r="I196" s="26"/>
    </row>
    <row r="197" spans="5:9">
      <c r="E197" s="26"/>
      <c r="F197" s="26"/>
      <c r="G197" s="26"/>
      <c r="H197" s="26"/>
      <c r="I197" s="26"/>
    </row>
    <row r="198" spans="5:9">
      <c r="E198" s="26"/>
      <c r="F198" s="26"/>
      <c r="G198" s="26"/>
      <c r="H198" s="26"/>
      <c r="I198" s="26"/>
    </row>
    <row r="199" spans="5:9">
      <c r="E199" s="26"/>
      <c r="F199" s="26"/>
      <c r="G199" s="26"/>
      <c r="H199" s="26"/>
      <c r="I199" s="26"/>
    </row>
    <row r="200" spans="5:9">
      <c r="E200" s="26"/>
      <c r="F200" s="26"/>
      <c r="G200" s="26"/>
      <c r="H200" s="26"/>
      <c r="I200" s="26"/>
    </row>
    <row r="201" spans="5:9">
      <c r="E201" s="26"/>
      <c r="F201" s="26"/>
      <c r="G201" s="26"/>
      <c r="H201" s="26"/>
      <c r="I201" s="26"/>
    </row>
    <row r="202" spans="5:9">
      <c r="E202" s="26"/>
      <c r="F202" s="26"/>
      <c r="G202" s="26"/>
      <c r="H202" s="26"/>
      <c r="I202" s="26"/>
    </row>
    <row r="203" spans="5:9">
      <c r="E203" s="26"/>
      <c r="F203" s="26"/>
      <c r="G203" s="26"/>
      <c r="H203" s="26"/>
      <c r="I203" s="26"/>
    </row>
    <row r="204" spans="5:9">
      <c r="E204" s="26"/>
      <c r="F204" s="26"/>
      <c r="G204" s="26"/>
      <c r="H204" s="26"/>
      <c r="I204" s="26"/>
    </row>
    <row r="205" spans="5:9">
      <c r="E205" s="26"/>
      <c r="F205" s="26"/>
      <c r="G205" s="26"/>
      <c r="H205" s="26"/>
      <c r="I205" s="26"/>
    </row>
    <row r="206" spans="5:9">
      <c r="E206" s="26"/>
      <c r="F206" s="26"/>
      <c r="G206" s="26"/>
      <c r="H206" s="26"/>
      <c r="I206" s="26"/>
    </row>
    <row r="207" spans="5:9">
      <c r="E207" s="26"/>
      <c r="F207" s="26"/>
      <c r="G207" s="26"/>
      <c r="H207" s="26"/>
      <c r="I207" s="26"/>
    </row>
    <row r="208" spans="5:9">
      <c r="E208" s="26"/>
      <c r="F208" s="26"/>
      <c r="G208" s="26"/>
      <c r="H208" s="26"/>
      <c r="I208" s="26"/>
    </row>
    <row r="209" spans="5:9">
      <c r="E209" s="26"/>
      <c r="F209" s="26"/>
      <c r="G209" s="26"/>
      <c r="H209" s="26"/>
      <c r="I209" s="26"/>
    </row>
    <row r="210" spans="5:9">
      <c r="E210" s="26"/>
      <c r="F210" s="26"/>
      <c r="G210" s="26"/>
      <c r="H210" s="26"/>
      <c r="I210" s="26"/>
    </row>
    <row r="211" spans="5:9">
      <c r="E211" s="26"/>
      <c r="F211" s="26"/>
      <c r="G211" s="26"/>
      <c r="H211" s="26"/>
      <c r="I211" s="26"/>
    </row>
    <row r="212" spans="5:9">
      <c r="E212" s="26"/>
      <c r="F212" s="26"/>
      <c r="G212" s="26"/>
      <c r="H212" s="26"/>
      <c r="I212" s="26"/>
    </row>
    <row r="213" spans="5:9">
      <c r="E213" s="26"/>
      <c r="F213" s="26"/>
      <c r="G213" s="26"/>
      <c r="H213" s="26"/>
      <c r="I213" s="26"/>
    </row>
    <row r="214" spans="5:9">
      <c r="E214" s="26"/>
      <c r="F214" s="26"/>
      <c r="G214" s="26"/>
      <c r="H214" s="26"/>
      <c r="I214" s="26"/>
    </row>
    <row r="215" spans="5:9">
      <c r="E215" s="26"/>
      <c r="F215" s="26"/>
      <c r="G215" s="26"/>
      <c r="H215" s="26"/>
      <c r="I215" s="26"/>
    </row>
    <row r="216" spans="5:9">
      <c r="E216" s="26"/>
      <c r="F216" s="26"/>
      <c r="G216" s="26"/>
      <c r="H216" s="26"/>
      <c r="I216" s="26"/>
    </row>
    <row r="217" spans="5:9">
      <c r="E217" s="26"/>
      <c r="F217" s="26"/>
      <c r="G217" s="26"/>
      <c r="H217" s="26"/>
      <c r="I217" s="26"/>
    </row>
    <row r="218" spans="5:9">
      <c r="E218" s="26"/>
      <c r="F218" s="26"/>
      <c r="G218" s="26"/>
      <c r="H218" s="26"/>
      <c r="I218" s="26"/>
    </row>
    <row r="219" spans="5:9">
      <c r="E219" s="26"/>
      <c r="F219" s="26"/>
      <c r="G219" s="26"/>
      <c r="H219" s="26"/>
      <c r="I219" s="26"/>
    </row>
    <row r="220" spans="5:9">
      <c r="E220" s="26"/>
      <c r="F220" s="26"/>
      <c r="G220" s="26"/>
      <c r="H220" s="26"/>
      <c r="I220" s="26"/>
    </row>
    <row r="221" spans="5:9">
      <c r="E221" s="26"/>
      <c r="F221" s="26"/>
      <c r="G221" s="26"/>
      <c r="H221" s="26"/>
      <c r="I221" s="26"/>
    </row>
    <row r="222" spans="5:9">
      <c r="E222" s="26"/>
      <c r="F222" s="26"/>
      <c r="G222" s="26"/>
      <c r="H222" s="26"/>
      <c r="I222" s="26"/>
    </row>
    <row r="223" spans="5:9">
      <c r="E223" s="26"/>
      <c r="F223" s="26"/>
      <c r="G223" s="26"/>
      <c r="H223" s="26"/>
      <c r="I223" s="26"/>
    </row>
    <row r="224" spans="5:9">
      <c r="E224" s="26"/>
      <c r="F224" s="26"/>
      <c r="G224" s="26"/>
      <c r="H224" s="26"/>
      <c r="I224" s="26"/>
    </row>
    <row r="225" spans="5:9">
      <c r="E225" s="26"/>
      <c r="F225" s="26"/>
      <c r="G225" s="26"/>
      <c r="H225" s="26"/>
      <c r="I225" s="26"/>
    </row>
    <row r="226" spans="5:9">
      <c r="E226" s="26"/>
      <c r="F226" s="26"/>
      <c r="G226" s="26"/>
      <c r="H226" s="26"/>
      <c r="I226" s="26"/>
    </row>
    <row r="227" spans="5:9">
      <c r="E227" s="26"/>
      <c r="F227" s="26"/>
      <c r="G227" s="26"/>
      <c r="H227" s="26"/>
      <c r="I227" s="26"/>
    </row>
    <row r="228" spans="5:9">
      <c r="E228" s="26"/>
      <c r="F228" s="26"/>
      <c r="G228" s="26"/>
      <c r="H228" s="26"/>
      <c r="I228" s="26"/>
    </row>
    <row r="229" spans="5:9">
      <c r="E229" s="26"/>
      <c r="F229" s="26"/>
      <c r="G229" s="26"/>
      <c r="H229" s="26"/>
      <c r="I229" s="26"/>
    </row>
    <row r="230" spans="5:9">
      <c r="E230" s="26"/>
      <c r="F230" s="26"/>
      <c r="G230" s="26"/>
      <c r="H230" s="26"/>
      <c r="I230" s="26"/>
    </row>
    <row r="231" spans="5:9">
      <c r="E231" s="26"/>
      <c r="F231" s="26"/>
      <c r="G231" s="26"/>
      <c r="H231" s="26"/>
      <c r="I231" s="26"/>
    </row>
    <row r="232" spans="5:9">
      <c r="E232" s="26"/>
      <c r="F232" s="26"/>
      <c r="G232" s="26"/>
      <c r="H232" s="26"/>
      <c r="I232" s="26"/>
    </row>
    <row r="233" spans="5:9">
      <c r="E233" s="26"/>
      <c r="F233" s="26"/>
      <c r="G233" s="26"/>
      <c r="H233" s="26"/>
      <c r="I233" s="26"/>
    </row>
    <row r="234" spans="5:9">
      <c r="E234" s="26"/>
      <c r="F234" s="26"/>
      <c r="G234" s="26"/>
      <c r="H234" s="26"/>
      <c r="I234" s="26"/>
    </row>
    <row r="235" spans="5:9">
      <c r="E235" s="26"/>
      <c r="F235" s="26"/>
      <c r="G235" s="26"/>
      <c r="H235" s="26"/>
      <c r="I235" s="26"/>
    </row>
    <row r="236" spans="5:9">
      <c r="E236" s="26"/>
      <c r="F236" s="26"/>
      <c r="G236" s="26"/>
      <c r="H236" s="26"/>
      <c r="I236" s="26"/>
    </row>
    <row r="237" spans="5:9">
      <c r="E237" s="26"/>
      <c r="F237" s="26"/>
      <c r="G237" s="26"/>
      <c r="H237" s="26"/>
      <c r="I237" s="26"/>
    </row>
    <row r="238" spans="5:9">
      <c r="E238" s="26"/>
      <c r="F238" s="26"/>
      <c r="G238" s="26"/>
      <c r="H238" s="26"/>
      <c r="I238" s="26"/>
    </row>
    <row r="239" spans="5:9">
      <c r="E239" s="26"/>
      <c r="F239" s="26"/>
      <c r="G239" s="26"/>
      <c r="H239" s="26"/>
      <c r="I239" s="26"/>
    </row>
    <row r="240" spans="5:9">
      <c r="E240" s="26"/>
      <c r="F240" s="26"/>
      <c r="G240" s="26"/>
      <c r="H240" s="26"/>
      <c r="I240" s="26"/>
    </row>
    <row r="241" spans="5:9">
      <c r="E241" s="26"/>
      <c r="F241" s="26"/>
      <c r="G241" s="26"/>
      <c r="H241" s="26"/>
      <c r="I241" s="26"/>
    </row>
    <row r="242" spans="5:9">
      <c r="E242" s="26"/>
      <c r="F242" s="26"/>
      <c r="G242" s="26"/>
      <c r="H242" s="26"/>
      <c r="I242" s="26"/>
    </row>
    <row r="243" spans="5:9">
      <c r="E243" s="26"/>
      <c r="F243" s="26"/>
      <c r="G243" s="26"/>
      <c r="H243" s="26"/>
      <c r="I243" s="26"/>
    </row>
    <row r="244" spans="5:9">
      <c r="E244" s="26"/>
      <c r="F244" s="26"/>
      <c r="G244" s="26"/>
      <c r="H244" s="26"/>
      <c r="I244" s="26"/>
    </row>
    <row r="245" spans="5:9">
      <c r="E245" s="26"/>
      <c r="F245" s="26"/>
      <c r="G245" s="26"/>
      <c r="H245" s="26"/>
      <c r="I245" s="26"/>
    </row>
    <row r="246" spans="5:9">
      <c r="E246" s="26"/>
      <c r="F246" s="26"/>
      <c r="G246" s="26"/>
      <c r="H246" s="26"/>
      <c r="I246" s="26"/>
    </row>
    <row r="247" spans="5:9">
      <c r="E247" s="26"/>
      <c r="F247" s="26"/>
      <c r="G247" s="26"/>
      <c r="H247" s="26"/>
      <c r="I247" s="26"/>
    </row>
    <row r="248" spans="5:9">
      <c r="E248" s="26"/>
      <c r="F248" s="26"/>
      <c r="G248" s="26"/>
      <c r="H248" s="26"/>
      <c r="I248" s="26"/>
    </row>
    <row r="249" spans="5:9">
      <c r="E249" s="26"/>
      <c r="F249" s="26"/>
      <c r="G249" s="26"/>
      <c r="H249" s="26"/>
      <c r="I249" s="26"/>
    </row>
    <row r="250" spans="5:9">
      <c r="E250" s="26"/>
      <c r="F250" s="26"/>
      <c r="G250" s="26"/>
      <c r="H250" s="26"/>
      <c r="I250" s="26"/>
    </row>
    <row r="251" spans="5:9">
      <c r="E251" s="26"/>
      <c r="F251" s="26"/>
      <c r="G251" s="26"/>
      <c r="H251" s="26"/>
      <c r="I251" s="26"/>
    </row>
    <row r="252" spans="5:9">
      <c r="E252" s="26"/>
      <c r="F252" s="26"/>
      <c r="G252" s="26"/>
      <c r="H252" s="26"/>
      <c r="I252" s="26"/>
    </row>
    <row r="253" spans="5:9">
      <c r="E253" s="26"/>
      <c r="F253" s="26"/>
      <c r="G253" s="26"/>
      <c r="H253" s="26"/>
      <c r="I253" s="26"/>
    </row>
    <row r="254" spans="5:9">
      <c r="E254" s="26"/>
      <c r="F254" s="26"/>
      <c r="G254" s="26"/>
      <c r="H254" s="26"/>
      <c r="I254" s="26"/>
    </row>
    <row r="255" spans="5:9">
      <c r="E255" s="26"/>
      <c r="F255" s="26"/>
      <c r="G255" s="26"/>
      <c r="H255" s="26"/>
      <c r="I255" s="26"/>
    </row>
    <row r="256" spans="5:9">
      <c r="E256" s="26"/>
      <c r="F256" s="26"/>
      <c r="G256" s="26"/>
      <c r="H256" s="26"/>
      <c r="I256" s="26"/>
    </row>
    <row r="257" spans="5:9">
      <c r="E257" s="26"/>
      <c r="F257" s="26"/>
      <c r="G257" s="26"/>
      <c r="H257" s="26"/>
      <c r="I257" s="26"/>
    </row>
    <row r="258" spans="5:9">
      <c r="E258" s="26"/>
      <c r="F258" s="26"/>
      <c r="G258" s="26"/>
      <c r="H258" s="26"/>
      <c r="I258" s="26"/>
    </row>
    <row r="259" spans="5:9">
      <c r="E259" s="26"/>
      <c r="F259" s="26"/>
      <c r="G259" s="26"/>
      <c r="H259" s="26"/>
      <c r="I259" s="26"/>
    </row>
    <row r="260" spans="5:9">
      <c r="E260" s="26"/>
      <c r="F260" s="26"/>
      <c r="G260" s="26"/>
      <c r="H260" s="26"/>
      <c r="I260" s="26"/>
    </row>
    <row r="261" spans="5:9">
      <c r="E261" s="26"/>
      <c r="F261" s="26"/>
      <c r="G261" s="26"/>
      <c r="H261" s="26"/>
      <c r="I261" s="26"/>
    </row>
    <row r="262" spans="5:9">
      <c r="E262" s="26"/>
      <c r="F262" s="26"/>
      <c r="G262" s="26"/>
      <c r="H262" s="26"/>
      <c r="I262" s="26"/>
    </row>
    <row r="263" spans="5:9">
      <c r="E263" s="26"/>
      <c r="F263" s="26"/>
      <c r="G263" s="26"/>
      <c r="H263" s="26"/>
      <c r="I263" s="26"/>
    </row>
    <row r="264" spans="5:9">
      <c r="E264" s="26"/>
      <c r="F264" s="26"/>
      <c r="G264" s="26"/>
      <c r="H264" s="26"/>
      <c r="I264" s="26"/>
    </row>
    <row r="265" spans="5:9">
      <c r="E265" s="26"/>
      <c r="F265" s="26"/>
      <c r="G265" s="26"/>
      <c r="H265" s="26"/>
      <c r="I265" s="26"/>
    </row>
    <row r="266" spans="5:9">
      <c r="E266" s="26"/>
      <c r="F266" s="26"/>
      <c r="G266" s="26"/>
      <c r="H266" s="26"/>
      <c r="I266" s="26"/>
    </row>
    <row r="267" spans="5:9">
      <c r="E267" s="26"/>
      <c r="F267" s="26"/>
      <c r="G267" s="26"/>
      <c r="H267" s="26"/>
      <c r="I267" s="26"/>
    </row>
    <row r="268" spans="5:9">
      <c r="E268" s="26"/>
      <c r="F268" s="26"/>
      <c r="G268" s="26"/>
      <c r="H268" s="26"/>
      <c r="I268" s="26"/>
    </row>
    <row r="269" spans="5:9">
      <c r="E269" s="26"/>
      <c r="F269" s="26"/>
      <c r="G269" s="26"/>
      <c r="H269" s="26"/>
      <c r="I269" s="26"/>
    </row>
    <row r="270" spans="5:9">
      <c r="E270" s="26"/>
      <c r="F270" s="26"/>
      <c r="G270" s="26"/>
      <c r="H270" s="26"/>
      <c r="I270" s="26"/>
    </row>
    <row r="271" spans="5:9">
      <c r="E271" s="26"/>
      <c r="F271" s="26"/>
      <c r="G271" s="26"/>
      <c r="H271" s="26"/>
      <c r="I271" s="26"/>
    </row>
    <row r="272" spans="5:9">
      <c r="E272" s="26"/>
      <c r="F272" s="26"/>
      <c r="G272" s="26"/>
      <c r="H272" s="26"/>
      <c r="I272" s="26"/>
    </row>
    <row r="273" spans="5:9">
      <c r="E273" s="26"/>
      <c r="F273" s="26"/>
      <c r="G273" s="26"/>
      <c r="H273" s="26"/>
      <c r="I273" s="26"/>
    </row>
    <row r="274" spans="5:9">
      <c r="E274" s="26"/>
      <c r="F274" s="26"/>
      <c r="G274" s="26"/>
      <c r="H274" s="26"/>
      <c r="I274" s="26"/>
    </row>
    <row r="275" spans="5:9">
      <c r="E275" s="26"/>
      <c r="F275" s="26"/>
      <c r="G275" s="26"/>
      <c r="H275" s="26"/>
      <c r="I275" s="26"/>
    </row>
    <row r="276" spans="5:9">
      <c r="E276" s="26"/>
      <c r="F276" s="26"/>
      <c r="G276" s="26"/>
      <c r="H276" s="26"/>
      <c r="I276" s="26"/>
    </row>
    <row r="277" spans="5:9">
      <c r="E277" s="26"/>
      <c r="F277" s="26"/>
      <c r="G277" s="26"/>
      <c r="H277" s="26"/>
      <c r="I277" s="26"/>
    </row>
    <row r="278" spans="5:9">
      <c r="E278" s="26"/>
      <c r="F278" s="26"/>
      <c r="G278" s="26"/>
      <c r="H278" s="26"/>
      <c r="I278" s="26"/>
    </row>
    <row r="279" spans="5:9">
      <c r="E279" s="26"/>
      <c r="F279" s="26"/>
      <c r="G279" s="26"/>
      <c r="H279" s="26"/>
      <c r="I279" s="26"/>
    </row>
    <row r="280" spans="5:9">
      <c r="E280" s="26"/>
      <c r="F280" s="26"/>
      <c r="G280" s="26"/>
      <c r="H280" s="26"/>
      <c r="I280" s="26"/>
    </row>
    <row r="281" spans="5:9">
      <c r="E281" s="26"/>
      <c r="F281" s="26"/>
      <c r="G281" s="26"/>
      <c r="H281" s="26"/>
      <c r="I281" s="26"/>
    </row>
    <row r="282" spans="5:9">
      <c r="E282" s="26"/>
      <c r="F282" s="26"/>
      <c r="G282" s="26"/>
      <c r="H282" s="26"/>
      <c r="I282" s="26"/>
    </row>
    <row r="283" spans="5:9">
      <c r="E283" s="26"/>
      <c r="F283" s="26"/>
      <c r="G283" s="26"/>
      <c r="H283" s="26"/>
      <c r="I283" s="26"/>
    </row>
    <row r="284" spans="5:9">
      <c r="E284" s="26"/>
      <c r="F284" s="26"/>
      <c r="G284" s="26"/>
      <c r="H284" s="26"/>
      <c r="I284" s="26"/>
    </row>
    <row r="285" spans="5:9">
      <c r="E285" s="26"/>
      <c r="F285" s="26"/>
      <c r="G285" s="26"/>
      <c r="H285" s="26"/>
      <c r="I285" s="26"/>
    </row>
    <row r="286" spans="5:9">
      <c r="E286" s="26"/>
      <c r="F286" s="26"/>
      <c r="G286" s="26"/>
      <c r="H286" s="26"/>
      <c r="I286" s="26"/>
    </row>
    <row r="287" spans="5:9">
      <c r="E287" s="26"/>
      <c r="F287" s="26"/>
      <c r="G287" s="26"/>
      <c r="H287" s="26"/>
      <c r="I287" s="26"/>
    </row>
    <row r="288" spans="5:9">
      <c r="E288" s="26"/>
      <c r="F288" s="26"/>
      <c r="G288" s="26"/>
      <c r="H288" s="26"/>
      <c r="I288" s="26"/>
    </row>
    <row r="289" spans="5:9">
      <c r="E289" s="26"/>
      <c r="F289" s="26"/>
      <c r="G289" s="26"/>
      <c r="H289" s="26"/>
      <c r="I289" s="26"/>
    </row>
    <row r="290" spans="5:9">
      <c r="E290" s="26"/>
      <c r="F290" s="26"/>
      <c r="G290" s="26"/>
      <c r="H290" s="26"/>
      <c r="I290" s="26"/>
    </row>
    <row r="291" spans="5:9">
      <c r="E291" s="26"/>
      <c r="F291" s="26"/>
      <c r="G291" s="26"/>
      <c r="H291" s="26"/>
      <c r="I291" s="26"/>
    </row>
    <row r="292" spans="5:9">
      <c r="E292" s="26"/>
      <c r="F292" s="26"/>
      <c r="G292" s="26"/>
      <c r="H292" s="26"/>
      <c r="I292" s="26"/>
    </row>
    <row r="293" spans="5:9">
      <c r="E293" s="26"/>
      <c r="F293" s="26"/>
      <c r="G293" s="26"/>
      <c r="H293" s="26"/>
      <c r="I293" s="26"/>
    </row>
    <row r="294" spans="5:9">
      <c r="E294" s="26"/>
      <c r="F294" s="26"/>
      <c r="G294" s="26"/>
      <c r="H294" s="26"/>
      <c r="I294" s="26"/>
    </row>
    <row r="295" spans="5:9">
      <c r="E295" s="26"/>
      <c r="F295" s="26"/>
      <c r="G295" s="26"/>
      <c r="H295" s="26"/>
      <c r="I295" s="26"/>
    </row>
    <row r="296" spans="5:9">
      <c r="E296" s="26"/>
      <c r="F296" s="26"/>
      <c r="G296" s="26"/>
      <c r="H296" s="26"/>
      <c r="I296" s="26"/>
    </row>
    <row r="297" spans="5:9">
      <c r="E297" s="26"/>
      <c r="F297" s="26"/>
      <c r="G297" s="26"/>
      <c r="H297" s="26"/>
      <c r="I297" s="26"/>
    </row>
    <row r="298" spans="5:9">
      <c r="E298" s="26"/>
      <c r="F298" s="26"/>
      <c r="G298" s="26"/>
      <c r="H298" s="26"/>
      <c r="I298" s="26"/>
    </row>
    <row r="299" spans="5:9">
      <c r="E299" s="26"/>
      <c r="F299" s="26"/>
      <c r="G299" s="26"/>
      <c r="H299" s="26"/>
      <c r="I299" s="26"/>
    </row>
    <row r="300" spans="5:9">
      <c r="E300" s="26"/>
      <c r="F300" s="26"/>
      <c r="G300" s="26"/>
      <c r="H300" s="26"/>
      <c r="I300" s="26"/>
    </row>
    <row r="301" spans="5:9">
      <c r="E301" s="26"/>
      <c r="F301" s="26"/>
      <c r="G301" s="26"/>
      <c r="H301" s="26"/>
      <c r="I301" s="26"/>
    </row>
    <row r="302" spans="5:9">
      <c r="E302" s="26"/>
      <c r="F302" s="26"/>
      <c r="G302" s="26"/>
      <c r="H302" s="26"/>
      <c r="I302" s="26"/>
    </row>
    <row r="303" spans="5:9">
      <c r="E303" s="26"/>
      <c r="F303" s="26"/>
      <c r="G303" s="26"/>
      <c r="H303" s="26"/>
      <c r="I303" s="26"/>
    </row>
    <row r="304" spans="5:9">
      <c r="E304" s="26"/>
      <c r="F304" s="26"/>
      <c r="G304" s="26"/>
      <c r="H304" s="26"/>
      <c r="I304" s="26"/>
    </row>
    <row r="305" spans="5:9">
      <c r="E305" s="26"/>
      <c r="F305" s="26"/>
      <c r="G305" s="26"/>
      <c r="H305" s="26"/>
      <c r="I305" s="26"/>
    </row>
    <row r="306" spans="5:9">
      <c r="E306" s="26"/>
      <c r="F306" s="26"/>
      <c r="G306" s="26"/>
      <c r="H306" s="26"/>
      <c r="I306" s="26"/>
    </row>
    <row r="307" spans="5:9">
      <c r="E307" s="26"/>
      <c r="F307" s="26"/>
      <c r="G307" s="26"/>
      <c r="H307" s="26"/>
      <c r="I307" s="26"/>
    </row>
    <row r="308" spans="5:9">
      <c r="E308" s="26"/>
      <c r="F308" s="26"/>
      <c r="G308" s="26"/>
      <c r="H308" s="26"/>
      <c r="I308" s="26"/>
    </row>
    <row r="309" spans="5:9">
      <c r="E309" s="26"/>
      <c r="F309" s="26"/>
      <c r="G309" s="26"/>
      <c r="H309" s="26"/>
      <c r="I309" s="26"/>
    </row>
    <row r="310" spans="5:9">
      <c r="E310" s="26"/>
      <c r="F310" s="26"/>
      <c r="G310" s="26"/>
      <c r="H310" s="26"/>
      <c r="I310" s="26"/>
    </row>
    <row r="311" spans="5:9">
      <c r="E311" s="26"/>
      <c r="F311" s="26"/>
      <c r="G311" s="26"/>
      <c r="H311" s="26"/>
      <c r="I311" s="26"/>
    </row>
    <row r="312" spans="5:9">
      <c r="E312" s="26"/>
      <c r="F312" s="26"/>
      <c r="G312" s="26"/>
      <c r="H312" s="26"/>
      <c r="I312" s="26"/>
    </row>
    <row r="313" spans="5:9">
      <c r="E313" s="26"/>
      <c r="F313" s="26"/>
      <c r="G313" s="26"/>
      <c r="H313" s="26"/>
      <c r="I313" s="26"/>
    </row>
    <row r="314" spans="5:9">
      <c r="E314" s="26"/>
      <c r="F314" s="26"/>
      <c r="G314" s="26"/>
      <c r="H314" s="26"/>
      <c r="I314" s="26"/>
    </row>
    <row r="315" spans="5:9">
      <c r="E315" s="26"/>
      <c r="F315" s="26"/>
      <c r="G315" s="26"/>
      <c r="H315" s="26"/>
      <c r="I315" s="26"/>
    </row>
    <row r="316" spans="5:9">
      <c r="E316" s="26"/>
      <c r="F316" s="26"/>
      <c r="G316" s="26"/>
      <c r="H316" s="26"/>
      <c r="I316" s="26"/>
    </row>
    <row r="317" spans="5:9">
      <c r="E317" s="26"/>
      <c r="F317" s="26"/>
      <c r="G317" s="26"/>
      <c r="H317" s="26"/>
      <c r="I317" s="26"/>
    </row>
    <row r="318" spans="5:9">
      <c r="E318" s="26"/>
      <c r="F318" s="26"/>
      <c r="G318" s="26"/>
      <c r="H318" s="26"/>
      <c r="I318" s="26"/>
    </row>
    <row r="319" spans="5:9">
      <c r="E319" s="26"/>
      <c r="F319" s="26"/>
      <c r="G319" s="26"/>
      <c r="H319" s="26"/>
      <c r="I319" s="26"/>
    </row>
    <row r="320" spans="5:9">
      <c r="E320" s="26"/>
      <c r="F320" s="26"/>
      <c r="G320" s="26"/>
      <c r="H320" s="26"/>
      <c r="I320" s="26"/>
    </row>
    <row r="321" spans="5:9">
      <c r="E321" s="26"/>
      <c r="F321" s="26"/>
      <c r="G321" s="26"/>
      <c r="H321" s="26"/>
      <c r="I321" s="26"/>
    </row>
    <row r="322" spans="5:9">
      <c r="E322" s="26"/>
      <c r="F322" s="26"/>
      <c r="G322" s="26"/>
      <c r="H322" s="26"/>
      <c r="I322" s="26"/>
    </row>
    <row r="323" spans="5:9">
      <c r="E323" s="26"/>
      <c r="F323" s="26"/>
      <c r="G323" s="26"/>
      <c r="H323" s="26"/>
      <c r="I323" s="26"/>
    </row>
    <row r="324" spans="5:9">
      <c r="E324" s="26"/>
      <c r="F324" s="26"/>
      <c r="G324" s="26"/>
      <c r="H324" s="26"/>
      <c r="I324" s="26"/>
    </row>
    <row r="325" spans="5:9">
      <c r="E325" s="26"/>
      <c r="F325" s="26"/>
      <c r="G325" s="26"/>
      <c r="H325" s="26"/>
      <c r="I325" s="26"/>
    </row>
    <row r="326" spans="5:9">
      <c r="E326" s="26"/>
      <c r="F326" s="26"/>
      <c r="G326" s="26"/>
      <c r="H326" s="26"/>
      <c r="I326" s="26"/>
    </row>
    <row r="327" spans="5:9">
      <c r="E327" s="26"/>
      <c r="F327" s="26"/>
      <c r="G327" s="26"/>
      <c r="H327" s="26"/>
      <c r="I327" s="26"/>
    </row>
    <row r="328" spans="5:9">
      <c r="E328" s="26"/>
      <c r="F328" s="26"/>
      <c r="G328" s="26"/>
      <c r="H328" s="26"/>
      <c r="I328" s="26"/>
    </row>
    <row r="329" spans="5:9">
      <c r="E329" s="26"/>
      <c r="F329" s="26"/>
      <c r="G329" s="26"/>
      <c r="H329" s="26"/>
      <c r="I329" s="26"/>
    </row>
    <row r="330" spans="5:9">
      <c r="E330" s="26"/>
      <c r="F330" s="26"/>
      <c r="G330" s="26"/>
      <c r="H330" s="26"/>
      <c r="I330" s="26"/>
    </row>
    <row r="331" spans="5:9">
      <c r="E331" s="26"/>
      <c r="F331" s="26"/>
      <c r="G331" s="26"/>
      <c r="H331" s="26"/>
      <c r="I331" s="26"/>
    </row>
    <row r="332" spans="5:9">
      <c r="E332" s="26"/>
      <c r="F332" s="26"/>
      <c r="G332" s="26"/>
      <c r="H332" s="26"/>
      <c r="I332" s="26"/>
    </row>
    <row r="333" spans="5:9">
      <c r="E333" s="26"/>
      <c r="F333" s="26"/>
      <c r="G333" s="26"/>
      <c r="H333" s="26"/>
      <c r="I333" s="26"/>
    </row>
    <row r="334" spans="5:9">
      <c r="E334" s="26"/>
      <c r="F334" s="26"/>
      <c r="G334" s="26"/>
      <c r="H334" s="26"/>
      <c r="I334" s="26"/>
    </row>
    <row r="335" spans="5:9">
      <c r="E335" s="26"/>
      <c r="F335" s="26"/>
      <c r="G335" s="26"/>
      <c r="H335" s="26"/>
      <c r="I335" s="26"/>
    </row>
    <row r="336" spans="5:9">
      <c r="E336" s="26"/>
      <c r="F336" s="26"/>
      <c r="G336" s="26"/>
      <c r="H336" s="26"/>
      <c r="I336" s="26"/>
    </row>
    <row r="337" spans="5:9">
      <c r="E337" s="26"/>
      <c r="F337" s="26"/>
      <c r="G337" s="26"/>
      <c r="H337" s="26"/>
      <c r="I337" s="26"/>
    </row>
    <row r="338" spans="5:9">
      <c r="E338" s="26"/>
      <c r="F338" s="26"/>
      <c r="G338" s="26"/>
      <c r="H338" s="26"/>
      <c r="I338" s="26"/>
    </row>
    <row r="339" spans="5:9">
      <c r="E339" s="26"/>
      <c r="F339" s="26"/>
      <c r="G339" s="26"/>
      <c r="H339" s="26"/>
      <c r="I339" s="26"/>
    </row>
    <row r="340" spans="5:9">
      <c r="E340" s="26"/>
      <c r="F340" s="26"/>
      <c r="G340" s="26"/>
      <c r="H340" s="26"/>
      <c r="I340" s="26"/>
    </row>
    <row r="341" spans="5:9">
      <c r="E341" s="26"/>
      <c r="F341" s="26"/>
      <c r="G341" s="26"/>
      <c r="H341" s="26"/>
      <c r="I341" s="26"/>
    </row>
    <row r="342" spans="5:9">
      <c r="E342" s="26"/>
      <c r="F342" s="26"/>
      <c r="G342" s="26"/>
      <c r="H342" s="26"/>
      <c r="I342" s="26"/>
    </row>
    <row r="343" spans="5:9">
      <c r="E343" s="26"/>
      <c r="F343" s="26"/>
      <c r="G343" s="26"/>
      <c r="H343" s="26"/>
      <c r="I343" s="26"/>
    </row>
    <row r="344" spans="5:9">
      <c r="E344" s="26"/>
      <c r="F344" s="26"/>
      <c r="G344" s="26"/>
      <c r="H344" s="26"/>
      <c r="I344" s="26"/>
    </row>
    <row r="345" spans="5:9">
      <c r="E345" s="26"/>
      <c r="F345" s="26"/>
      <c r="G345" s="26"/>
      <c r="H345" s="26"/>
      <c r="I345" s="26"/>
    </row>
    <row r="346" spans="5:9">
      <c r="E346" s="26"/>
      <c r="F346" s="26"/>
      <c r="G346" s="26"/>
      <c r="H346" s="26"/>
      <c r="I346" s="26"/>
    </row>
    <row r="347" spans="5:9">
      <c r="E347" s="26"/>
      <c r="F347" s="26"/>
      <c r="G347" s="26"/>
      <c r="H347" s="26"/>
      <c r="I347" s="26"/>
    </row>
    <row r="348" spans="5:9">
      <c r="E348" s="26"/>
      <c r="F348" s="26"/>
      <c r="G348" s="26"/>
      <c r="H348" s="26"/>
      <c r="I348" s="26"/>
    </row>
    <row r="349" spans="5:9">
      <c r="E349" s="26"/>
      <c r="F349" s="26"/>
      <c r="G349" s="26"/>
      <c r="H349" s="26"/>
      <c r="I349" s="26"/>
    </row>
    <row r="350" spans="5:9">
      <c r="E350" s="26"/>
      <c r="F350" s="26"/>
      <c r="G350" s="26"/>
      <c r="H350" s="26"/>
      <c r="I350" s="26"/>
    </row>
    <row r="351" spans="5:9">
      <c r="E351" s="26"/>
      <c r="F351" s="26"/>
      <c r="G351" s="26"/>
      <c r="H351" s="26"/>
      <c r="I351" s="26"/>
    </row>
    <row r="352" spans="5:9">
      <c r="E352" s="26"/>
      <c r="F352" s="26"/>
      <c r="G352" s="26"/>
      <c r="H352" s="26"/>
      <c r="I352" s="26"/>
    </row>
    <row r="353" spans="5:9">
      <c r="E353" s="26"/>
      <c r="F353" s="26"/>
      <c r="G353" s="26"/>
      <c r="H353" s="26"/>
      <c r="I353" s="26"/>
    </row>
    <row r="354" spans="5:9">
      <c r="E354" s="26"/>
      <c r="F354" s="26"/>
      <c r="G354" s="26"/>
      <c r="H354" s="26"/>
      <c r="I354" s="26"/>
    </row>
    <row r="355" spans="5:9">
      <c r="E355" s="26"/>
      <c r="F355" s="26"/>
      <c r="G355" s="26"/>
      <c r="H355" s="26"/>
      <c r="I355" s="26"/>
    </row>
    <row r="356" spans="5:9">
      <c r="E356" s="26"/>
      <c r="F356" s="26"/>
      <c r="G356" s="26"/>
      <c r="H356" s="26"/>
      <c r="I356" s="26"/>
    </row>
    <row r="357" spans="5:9">
      <c r="E357" s="26"/>
      <c r="F357" s="26"/>
      <c r="G357" s="26"/>
      <c r="H357" s="26"/>
      <c r="I357" s="26"/>
    </row>
    <row r="358" spans="5:9">
      <c r="E358" s="26"/>
      <c r="F358" s="26"/>
      <c r="G358" s="26"/>
      <c r="H358" s="26"/>
      <c r="I358" s="26"/>
    </row>
    <row r="359" spans="5:9">
      <c r="E359" s="26"/>
      <c r="F359" s="26"/>
      <c r="G359" s="26"/>
      <c r="H359" s="26"/>
      <c r="I359" s="26"/>
    </row>
    <row r="360" spans="5:9">
      <c r="E360" s="26"/>
      <c r="F360" s="26"/>
      <c r="G360" s="26"/>
      <c r="H360" s="26"/>
      <c r="I360" s="26"/>
    </row>
    <row r="361" spans="5:9">
      <c r="E361" s="26"/>
      <c r="F361" s="26"/>
      <c r="G361" s="26"/>
      <c r="H361" s="26"/>
      <c r="I361" s="26"/>
    </row>
    <row r="362" spans="5:9">
      <c r="E362" s="26"/>
      <c r="F362" s="26"/>
      <c r="G362" s="26"/>
      <c r="H362" s="26"/>
      <c r="I362" s="26"/>
    </row>
    <row r="363" spans="5:9">
      <c r="E363" s="26"/>
      <c r="F363" s="26"/>
      <c r="G363" s="26"/>
      <c r="H363" s="26"/>
      <c r="I363" s="26"/>
    </row>
    <row r="364" spans="5:9">
      <c r="E364" s="26"/>
      <c r="F364" s="26"/>
      <c r="G364" s="26"/>
      <c r="H364" s="26"/>
      <c r="I364" s="26"/>
    </row>
    <row r="365" spans="5:9">
      <c r="E365" s="26"/>
      <c r="F365" s="26"/>
      <c r="G365" s="26"/>
      <c r="H365" s="26"/>
      <c r="I365" s="26"/>
    </row>
    <row r="366" spans="5:9">
      <c r="E366" s="26"/>
      <c r="F366" s="26"/>
      <c r="G366" s="26"/>
      <c r="H366" s="26"/>
      <c r="I366" s="26"/>
    </row>
    <row r="367" spans="5:9">
      <c r="E367" s="26"/>
      <c r="F367" s="26"/>
      <c r="G367" s="26"/>
      <c r="H367" s="26"/>
      <c r="I367" s="26"/>
    </row>
    <row r="368" spans="5:9">
      <c r="E368" s="26"/>
      <c r="F368" s="26"/>
      <c r="G368" s="26"/>
      <c r="H368" s="26"/>
      <c r="I368" s="26"/>
    </row>
    <row r="369" spans="5:9">
      <c r="E369" s="26"/>
      <c r="F369" s="26"/>
      <c r="G369" s="26"/>
      <c r="H369" s="26"/>
      <c r="I369" s="26"/>
    </row>
    <row r="370" spans="5:9">
      <c r="E370" s="26"/>
      <c r="F370" s="26"/>
      <c r="G370" s="26"/>
      <c r="H370" s="26"/>
      <c r="I370" s="26"/>
    </row>
    <row r="371" spans="5:9">
      <c r="E371" s="26"/>
      <c r="F371" s="26"/>
      <c r="G371" s="26"/>
      <c r="H371" s="26"/>
      <c r="I371" s="26"/>
    </row>
    <row r="372" spans="5:9">
      <c r="E372" s="26"/>
      <c r="F372" s="26"/>
      <c r="G372" s="26"/>
      <c r="H372" s="26"/>
      <c r="I372" s="26"/>
    </row>
    <row r="373" spans="5:9">
      <c r="E373" s="26"/>
      <c r="F373" s="26"/>
      <c r="G373" s="26"/>
      <c r="H373" s="26"/>
      <c r="I373" s="26"/>
    </row>
    <row r="374" spans="5:9">
      <c r="E374" s="26"/>
      <c r="F374" s="26"/>
      <c r="G374" s="26"/>
      <c r="H374" s="26"/>
      <c r="I374" s="26"/>
    </row>
    <row r="375" spans="5:9">
      <c r="E375" s="26"/>
      <c r="F375" s="26"/>
      <c r="G375" s="26"/>
      <c r="H375" s="26"/>
      <c r="I375" s="26"/>
    </row>
    <row r="376" spans="5:9">
      <c r="E376" s="26"/>
      <c r="F376" s="26"/>
      <c r="G376" s="26"/>
      <c r="H376" s="26"/>
      <c r="I376" s="26"/>
    </row>
    <row r="377" spans="5:9">
      <c r="E377" s="26"/>
      <c r="F377" s="26"/>
      <c r="G377" s="26"/>
      <c r="H377" s="26"/>
      <c r="I377" s="26"/>
    </row>
    <row r="378" spans="5:9">
      <c r="E378" s="26"/>
      <c r="F378" s="26"/>
      <c r="G378" s="26"/>
      <c r="H378" s="26"/>
      <c r="I378" s="26"/>
    </row>
    <row r="379" spans="5:9">
      <c r="E379" s="26"/>
      <c r="F379" s="26"/>
      <c r="G379" s="26"/>
      <c r="H379" s="26"/>
      <c r="I379" s="26"/>
    </row>
    <row r="380" spans="5:9">
      <c r="E380" s="26"/>
      <c r="F380" s="26"/>
      <c r="G380" s="26"/>
      <c r="H380" s="26"/>
      <c r="I380" s="26"/>
    </row>
    <row r="381" spans="5:9">
      <c r="E381" s="26"/>
      <c r="F381" s="26"/>
      <c r="G381" s="26"/>
      <c r="H381" s="26"/>
      <c r="I381" s="26"/>
    </row>
    <row r="382" spans="5:9">
      <c r="E382" s="26"/>
      <c r="F382" s="26"/>
      <c r="G382" s="26"/>
      <c r="H382" s="26"/>
      <c r="I382" s="26"/>
    </row>
    <row r="383" spans="5:9">
      <c r="E383" s="26"/>
      <c r="F383" s="26"/>
      <c r="G383" s="26"/>
      <c r="H383" s="26"/>
      <c r="I383" s="26"/>
    </row>
    <row r="384" spans="5:9">
      <c r="E384" s="26"/>
      <c r="F384" s="26"/>
      <c r="G384" s="26"/>
      <c r="H384" s="26"/>
      <c r="I384" s="26"/>
    </row>
    <row r="385" spans="5:9">
      <c r="E385" s="26"/>
      <c r="F385" s="26"/>
      <c r="G385" s="26"/>
      <c r="H385" s="26"/>
      <c r="I385" s="26"/>
    </row>
    <row r="386" spans="5:9">
      <c r="E386" s="26"/>
      <c r="F386" s="26"/>
      <c r="G386" s="26"/>
      <c r="H386" s="26"/>
      <c r="I386" s="26"/>
    </row>
    <row r="387" spans="5:9">
      <c r="E387" s="26"/>
      <c r="F387" s="26"/>
      <c r="G387" s="26"/>
      <c r="H387" s="26"/>
      <c r="I387" s="26"/>
    </row>
    <row r="388" spans="5:9">
      <c r="E388" s="26"/>
      <c r="F388" s="26"/>
      <c r="G388" s="26"/>
      <c r="H388" s="26"/>
      <c r="I388" s="26"/>
    </row>
    <row r="389" spans="5:9">
      <c r="E389" s="26"/>
      <c r="F389" s="26"/>
      <c r="G389" s="26"/>
      <c r="H389" s="26"/>
      <c r="I389" s="26"/>
    </row>
    <row r="390" spans="5:9">
      <c r="E390" s="26"/>
      <c r="F390" s="26"/>
      <c r="G390" s="26"/>
      <c r="H390" s="26"/>
      <c r="I390" s="26"/>
    </row>
    <row r="391" spans="5:9">
      <c r="E391" s="26"/>
      <c r="F391" s="26"/>
      <c r="G391" s="26"/>
      <c r="H391" s="26"/>
      <c r="I391" s="26"/>
    </row>
    <row r="392" spans="5:9">
      <c r="E392" s="26"/>
      <c r="F392" s="26"/>
      <c r="G392" s="26"/>
      <c r="H392" s="26"/>
      <c r="I392" s="26"/>
    </row>
    <row r="393" spans="5:9">
      <c r="E393" s="26"/>
      <c r="F393" s="26"/>
      <c r="G393" s="26"/>
      <c r="H393" s="26"/>
      <c r="I393" s="26"/>
    </row>
    <row r="394" spans="5:9">
      <c r="E394" s="26"/>
      <c r="F394" s="26"/>
      <c r="G394" s="26"/>
      <c r="H394" s="26"/>
      <c r="I394" s="26"/>
    </row>
    <row r="395" spans="5:9">
      <c r="E395" s="26"/>
      <c r="F395" s="26"/>
      <c r="G395" s="26"/>
      <c r="H395" s="26"/>
      <c r="I395" s="26"/>
    </row>
    <row r="396" spans="5:9">
      <c r="E396" s="26"/>
      <c r="F396" s="26"/>
      <c r="G396" s="26"/>
      <c r="H396" s="26"/>
      <c r="I396" s="26"/>
    </row>
    <row r="397" spans="5:9">
      <c r="E397" s="26"/>
      <c r="F397" s="26"/>
      <c r="G397" s="26"/>
      <c r="H397" s="26"/>
      <c r="I397" s="26"/>
    </row>
    <row r="398" spans="5:9">
      <c r="E398" s="26"/>
      <c r="F398" s="26"/>
      <c r="G398" s="26"/>
      <c r="H398" s="26"/>
      <c r="I398" s="26"/>
    </row>
    <row r="399" spans="5:9">
      <c r="E399" s="26"/>
      <c r="F399" s="26"/>
      <c r="G399" s="26"/>
      <c r="H399" s="26"/>
      <c r="I399" s="26"/>
    </row>
    <row r="400" spans="5:9">
      <c r="E400" s="26"/>
      <c r="F400" s="26"/>
      <c r="G400" s="26"/>
      <c r="H400" s="26"/>
      <c r="I400" s="26"/>
    </row>
    <row r="401" spans="5:9">
      <c r="E401" s="26"/>
      <c r="F401" s="26"/>
      <c r="G401" s="26"/>
      <c r="H401" s="26"/>
      <c r="I401" s="26"/>
    </row>
    <row r="402" spans="5:9">
      <c r="E402" s="26"/>
      <c r="F402" s="26"/>
      <c r="G402" s="26"/>
      <c r="H402" s="26"/>
      <c r="I402" s="26"/>
    </row>
    <row r="403" spans="5:9">
      <c r="E403" s="26"/>
      <c r="F403" s="26"/>
      <c r="G403" s="26"/>
      <c r="H403" s="26"/>
      <c r="I403" s="26"/>
    </row>
    <row r="404" spans="5:9">
      <c r="E404" s="26"/>
      <c r="F404" s="26"/>
      <c r="G404" s="26"/>
      <c r="H404" s="26"/>
      <c r="I404" s="26"/>
    </row>
    <row r="405" spans="5:9">
      <c r="E405" s="26"/>
      <c r="F405" s="26"/>
      <c r="G405" s="26"/>
      <c r="H405" s="26"/>
      <c r="I405" s="26"/>
    </row>
    <row r="406" spans="5:9">
      <c r="E406" s="26"/>
      <c r="F406" s="26"/>
      <c r="G406" s="26"/>
      <c r="H406" s="26"/>
      <c r="I406" s="26"/>
    </row>
    <row r="407" spans="5:9">
      <c r="E407" s="26"/>
      <c r="F407" s="26"/>
      <c r="G407" s="26"/>
      <c r="H407" s="26"/>
      <c r="I407" s="26"/>
    </row>
    <row r="408" spans="5:9">
      <c r="E408" s="26"/>
      <c r="F408" s="26"/>
      <c r="G408" s="26"/>
      <c r="H408" s="26"/>
      <c r="I408" s="26"/>
    </row>
    <row r="409" spans="5:9">
      <c r="E409" s="26"/>
      <c r="F409" s="26"/>
      <c r="G409" s="26"/>
      <c r="H409" s="26"/>
      <c r="I409" s="26"/>
    </row>
    <row r="410" spans="5:9">
      <c r="E410" s="26"/>
      <c r="F410" s="26"/>
      <c r="G410" s="26"/>
      <c r="H410" s="26"/>
      <c r="I410" s="26"/>
    </row>
    <row r="411" spans="5:9">
      <c r="E411" s="26"/>
      <c r="F411" s="26"/>
      <c r="G411" s="26"/>
      <c r="H411" s="26"/>
      <c r="I411" s="26"/>
    </row>
    <row r="412" spans="5:9">
      <c r="E412" s="26"/>
      <c r="F412" s="26"/>
      <c r="G412" s="26"/>
      <c r="H412" s="26"/>
      <c r="I412" s="26"/>
    </row>
    <row r="413" spans="5:9">
      <c r="E413" s="26"/>
      <c r="F413" s="26"/>
      <c r="G413" s="26"/>
      <c r="H413" s="26"/>
      <c r="I413" s="26"/>
    </row>
    <row r="414" spans="5:9">
      <c r="E414" s="26"/>
      <c r="F414" s="26"/>
      <c r="G414" s="26"/>
      <c r="H414" s="26"/>
      <c r="I414" s="26"/>
    </row>
    <row r="415" spans="5:9">
      <c r="E415" s="26"/>
      <c r="F415" s="26"/>
      <c r="G415" s="26"/>
      <c r="H415" s="26"/>
      <c r="I415" s="26"/>
    </row>
    <row r="416" spans="5:9">
      <c r="E416" s="26"/>
      <c r="F416" s="26"/>
      <c r="G416" s="26"/>
      <c r="H416" s="26"/>
      <c r="I416" s="26"/>
    </row>
    <row r="417" spans="5:9">
      <c r="E417" s="26"/>
      <c r="F417" s="26"/>
      <c r="G417" s="26"/>
      <c r="H417" s="26"/>
      <c r="I417" s="26"/>
    </row>
    <row r="418" spans="5:9">
      <c r="E418" s="26"/>
      <c r="F418" s="26"/>
      <c r="G418" s="26"/>
      <c r="H418" s="26"/>
      <c r="I418" s="26"/>
    </row>
    <row r="419" spans="5:9">
      <c r="E419" s="26"/>
      <c r="F419" s="26"/>
      <c r="G419" s="26"/>
      <c r="H419" s="26"/>
      <c r="I419" s="26"/>
    </row>
    <row r="420" spans="5:9">
      <c r="E420" s="26"/>
      <c r="F420" s="26"/>
      <c r="G420" s="26"/>
      <c r="H420" s="26"/>
      <c r="I420" s="26"/>
    </row>
    <row r="421" spans="5:9">
      <c r="E421" s="26"/>
      <c r="F421" s="26"/>
      <c r="G421" s="26"/>
      <c r="H421" s="26"/>
      <c r="I421" s="26"/>
    </row>
    <row r="422" spans="5:9">
      <c r="E422" s="26"/>
      <c r="F422" s="26"/>
      <c r="G422" s="26"/>
      <c r="H422" s="26"/>
      <c r="I422" s="26"/>
    </row>
    <row r="423" spans="5:9">
      <c r="E423" s="26"/>
      <c r="F423" s="26"/>
      <c r="G423" s="26"/>
      <c r="H423" s="26"/>
      <c r="I423" s="26"/>
    </row>
    <row r="424" spans="5:9">
      <c r="E424" s="26"/>
      <c r="F424" s="26"/>
      <c r="G424" s="26"/>
      <c r="H424" s="26"/>
      <c r="I424" s="26"/>
    </row>
    <row r="425" spans="5:9">
      <c r="E425" s="26"/>
      <c r="F425" s="26"/>
      <c r="G425" s="26"/>
      <c r="H425" s="26"/>
      <c r="I425" s="26"/>
    </row>
    <row r="426" spans="5:9">
      <c r="E426" s="26"/>
      <c r="F426" s="26"/>
      <c r="G426" s="26"/>
      <c r="H426" s="26"/>
      <c r="I426" s="26"/>
    </row>
    <row r="427" spans="5:9">
      <c r="E427" s="26"/>
      <c r="F427" s="26"/>
      <c r="G427" s="26"/>
      <c r="H427" s="26"/>
      <c r="I427" s="26"/>
    </row>
    <row r="428" spans="5:9">
      <c r="E428" s="26"/>
      <c r="F428" s="26"/>
      <c r="G428" s="26"/>
      <c r="H428" s="26"/>
      <c r="I428" s="26"/>
    </row>
    <row r="429" spans="5:9">
      <c r="E429" s="26"/>
      <c r="F429" s="26"/>
      <c r="G429" s="26"/>
      <c r="H429" s="26"/>
      <c r="I429" s="26"/>
    </row>
    <row r="430" spans="5:9">
      <c r="E430" s="26"/>
      <c r="F430" s="26"/>
      <c r="G430" s="26"/>
      <c r="H430" s="26"/>
      <c r="I430" s="26"/>
    </row>
    <row r="431" spans="5:9">
      <c r="E431" s="26"/>
      <c r="F431" s="26"/>
      <c r="G431" s="26"/>
      <c r="H431" s="26"/>
      <c r="I431" s="26"/>
    </row>
    <row r="432" spans="5:9">
      <c r="E432" s="26"/>
      <c r="F432" s="26"/>
      <c r="G432" s="26"/>
      <c r="H432" s="26"/>
      <c r="I432" s="26"/>
    </row>
    <row r="433" spans="5:9">
      <c r="E433" s="26"/>
      <c r="F433" s="26"/>
      <c r="G433" s="26"/>
      <c r="H433" s="26"/>
      <c r="I433" s="26"/>
    </row>
    <row r="434" spans="5:9">
      <c r="E434" s="26"/>
      <c r="F434" s="26"/>
      <c r="G434" s="26"/>
      <c r="H434" s="26"/>
      <c r="I434" s="26"/>
    </row>
    <row r="435" spans="5:9">
      <c r="E435" s="26"/>
      <c r="F435" s="26"/>
      <c r="G435" s="26"/>
      <c r="H435" s="26"/>
      <c r="I435" s="26"/>
    </row>
    <row r="436" spans="5:9">
      <c r="E436" s="26"/>
      <c r="F436" s="26"/>
      <c r="G436" s="26"/>
      <c r="H436" s="26"/>
      <c r="I436" s="26"/>
    </row>
    <row r="437" spans="5:9">
      <c r="E437" s="26"/>
      <c r="F437" s="26"/>
      <c r="G437" s="26"/>
      <c r="H437" s="26"/>
      <c r="I437" s="26"/>
    </row>
    <row r="438" spans="5:9">
      <c r="E438" s="26"/>
      <c r="F438" s="26"/>
      <c r="G438" s="26"/>
      <c r="H438" s="26"/>
      <c r="I438" s="26"/>
    </row>
    <row r="439" spans="5:9">
      <c r="E439" s="26"/>
      <c r="F439" s="26"/>
      <c r="G439" s="26"/>
      <c r="H439" s="26"/>
      <c r="I439" s="26"/>
    </row>
    <row r="440" spans="5:9">
      <c r="E440" s="26"/>
      <c r="F440" s="26"/>
      <c r="G440" s="26"/>
      <c r="H440" s="26"/>
      <c r="I440" s="26"/>
    </row>
    <row r="441" spans="5:9">
      <c r="E441" s="26"/>
      <c r="F441" s="26"/>
      <c r="G441" s="26"/>
      <c r="H441" s="26"/>
      <c r="I441" s="26"/>
    </row>
    <row r="442" spans="5:9">
      <c r="E442" s="26"/>
      <c r="F442" s="26"/>
      <c r="G442" s="26"/>
      <c r="H442" s="26"/>
      <c r="I442" s="26"/>
    </row>
    <row r="443" spans="5:9">
      <c r="E443" s="26"/>
      <c r="F443" s="26"/>
      <c r="G443" s="26"/>
      <c r="H443" s="26"/>
      <c r="I443" s="26"/>
    </row>
    <row r="444" spans="5:9">
      <c r="E444" s="26"/>
      <c r="F444" s="26"/>
      <c r="G444" s="26"/>
      <c r="H444" s="26"/>
      <c r="I444" s="26"/>
    </row>
    <row r="445" spans="5:9">
      <c r="E445" s="26"/>
      <c r="F445" s="26"/>
      <c r="G445" s="26"/>
      <c r="H445" s="26"/>
      <c r="I445" s="26"/>
    </row>
    <row r="446" spans="5:9">
      <c r="E446" s="26"/>
      <c r="F446" s="26"/>
      <c r="G446" s="26"/>
      <c r="H446" s="26"/>
      <c r="I446" s="26"/>
    </row>
    <row r="447" spans="5:9">
      <c r="E447" s="26"/>
      <c r="F447" s="26"/>
      <c r="G447" s="26"/>
      <c r="H447" s="26"/>
      <c r="I447" s="26"/>
    </row>
    <row r="448" spans="5:9">
      <c r="E448" s="26"/>
      <c r="F448" s="26"/>
      <c r="G448" s="26"/>
      <c r="H448" s="26"/>
      <c r="I448" s="26"/>
    </row>
    <row r="449" spans="5:9">
      <c r="E449" s="26"/>
      <c r="F449" s="26"/>
      <c r="G449" s="26"/>
      <c r="H449" s="26"/>
      <c r="I449" s="26"/>
    </row>
    <row r="450" spans="5:9">
      <c r="E450" s="26"/>
      <c r="F450" s="26"/>
      <c r="G450" s="26"/>
      <c r="H450" s="26"/>
      <c r="I450" s="26"/>
    </row>
    <row r="451" spans="5:9">
      <c r="E451" s="26"/>
      <c r="F451" s="26"/>
      <c r="G451" s="26"/>
      <c r="H451" s="26"/>
      <c r="I451" s="26"/>
    </row>
    <row r="452" spans="5:9">
      <c r="E452" s="26"/>
      <c r="F452" s="26"/>
      <c r="G452" s="26"/>
      <c r="H452" s="26"/>
      <c r="I452" s="26"/>
    </row>
    <row r="453" spans="5:9">
      <c r="E453" s="26"/>
      <c r="F453" s="26"/>
      <c r="G453" s="26"/>
      <c r="H453" s="26"/>
      <c r="I453" s="26"/>
    </row>
    <row r="454" spans="5:9">
      <c r="E454" s="26"/>
      <c r="F454" s="26"/>
      <c r="G454" s="26"/>
      <c r="H454" s="26"/>
      <c r="I454" s="26"/>
    </row>
    <row r="455" spans="5:9">
      <c r="E455" s="26"/>
      <c r="F455" s="26"/>
      <c r="G455" s="26"/>
      <c r="H455" s="26"/>
      <c r="I455" s="26"/>
    </row>
    <row r="456" spans="5:9">
      <c r="E456" s="26"/>
      <c r="F456" s="26"/>
      <c r="G456" s="26"/>
      <c r="H456" s="26"/>
      <c r="I456" s="26"/>
    </row>
    <row r="457" spans="5:9">
      <c r="E457" s="26"/>
      <c r="F457" s="26"/>
      <c r="G457" s="26"/>
      <c r="H457" s="26"/>
      <c r="I457" s="26"/>
    </row>
    <row r="458" spans="5:9">
      <c r="E458" s="26"/>
      <c r="F458" s="26"/>
      <c r="G458" s="26"/>
      <c r="H458" s="26"/>
      <c r="I458" s="26"/>
    </row>
    <row r="459" spans="5:9">
      <c r="E459" s="26"/>
      <c r="F459" s="26"/>
      <c r="G459" s="26"/>
      <c r="H459" s="26"/>
      <c r="I459" s="26"/>
    </row>
    <row r="460" spans="5:9">
      <c r="E460" s="26"/>
      <c r="F460" s="26"/>
      <c r="G460" s="26"/>
      <c r="H460" s="26"/>
      <c r="I460" s="26"/>
    </row>
    <row r="461" spans="5:9">
      <c r="E461" s="26"/>
      <c r="F461" s="26"/>
      <c r="G461" s="26"/>
      <c r="H461" s="26"/>
      <c r="I461" s="26"/>
    </row>
    <row r="462" spans="5:9">
      <c r="E462" s="26"/>
      <c r="F462" s="26"/>
      <c r="G462" s="26"/>
      <c r="H462" s="26"/>
      <c r="I462" s="26"/>
    </row>
    <row r="463" spans="5:9">
      <c r="E463" s="26"/>
      <c r="F463" s="26"/>
      <c r="G463" s="26"/>
      <c r="H463" s="26"/>
      <c r="I463" s="26"/>
    </row>
    <row r="464" spans="5:9">
      <c r="E464" s="26"/>
      <c r="F464" s="26"/>
      <c r="G464" s="26"/>
      <c r="H464" s="26"/>
      <c r="I464" s="26"/>
    </row>
    <row r="465" spans="5:9">
      <c r="E465" s="26"/>
      <c r="F465" s="26"/>
      <c r="G465" s="26"/>
      <c r="H465" s="26"/>
      <c r="I465" s="26"/>
    </row>
    <row r="466" spans="5:9">
      <c r="E466" s="26"/>
      <c r="F466" s="26"/>
      <c r="G466" s="26"/>
      <c r="H466" s="26"/>
      <c r="I466" s="26"/>
    </row>
    <row r="467" spans="5:9">
      <c r="E467" s="26"/>
      <c r="F467" s="26"/>
      <c r="G467" s="26"/>
      <c r="H467" s="26"/>
      <c r="I467" s="26"/>
    </row>
    <row r="468" spans="5:9">
      <c r="E468" s="26"/>
      <c r="F468" s="26"/>
      <c r="G468" s="26"/>
      <c r="H468" s="26"/>
      <c r="I468" s="26"/>
    </row>
    <row r="469" spans="5:9">
      <c r="E469" s="26"/>
      <c r="F469" s="26"/>
      <c r="G469" s="26"/>
      <c r="H469" s="26"/>
      <c r="I469" s="26"/>
    </row>
    <row r="470" spans="5:9">
      <c r="E470" s="26"/>
      <c r="F470" s="26"/>
      <c r="G470" s="26"/>
      <c r="H470" s="26"/>
      <c r="I470" s="26"/>
    </row>
    <row r="471" spans="5:9">
      <c r="E471" s="26"/>
      <c r="F471" s="26"/>
      <c r="G471" s="26"/>
      <c r="H471" s="26"/>
      <c r="I471" s="26"/>
    </row>
    <row r="472" spans="5:9">
      <c r="E472" s="26"/>
      <c r="F472" s="26"/>
      <c r="G472" s="26"/>
      <c r="H472" s="26"/>
      <c r="I472" s="26"/>
    </row>
    <row r="473" spans="5:9">
      <c r="E473" s="26"/>
      <c r="F473" s="26"/>
      <c r="G473" s="26"/>
      <c r="H473" s="26"/>
      <c r="I473" s="26"/>
    </row>
    <row r="474" spans="5:9">
      <c r="E474" s="26"/>
      <c r="F474" s="26"/>
      <c r="G474" s="26"/>
      <c r="H474" s="26"/>
      <c r="I474" s="26"/>
    </row>
    <row r="475" spans="5:9">
      <c r="E475" s="26"/>
      <c r="F475" s="26"/>
      <c r="G475" s="26"/>
      <c r="H475" s="26"/>
      <c r="I475" s="26"/>
    </row>
    <row r="476" spans="5:9">
      <c r="E476" s="26"/>
      <c r="F476" s="26"/>
      <c r="G476" s="26"/>
      <c r="H476" s="26"/>
      <c r="I476" s="26"/>
    </row>
    <row r="477" spans="5:9">
      <c r="E477" s="26"/>
      <c r="F477" s="26"/>
      <c r="G477" s="26"/>
      <c r="H477" s="26"/>
      <c r="I477" s="26"/>
    </row>
    <row r="478" spans="5:9">
      <c r="E478" s="26"/>
      <c r="F478" s="26"/>
      <c r="G478" s="26"/>
      <c r="H478" s="26"/>
      <c r="I478" s="26"/>
    </row>
    <row r="479" spans="5:9">
      <c r="E479" s="26"/>
      <c r="F479" s="26"/>
      <c r="G479" s="26"/>
      <c r="H479" s="26"/>
      <c r="I479" s="26"/>
    </row>
    <row r="480" spans="5:9">
      <c r="E480" s="26"/>
      <c r="F480" s="26"/>
      <c r="G480" s="26"/>
      <c r="H480" s="26"/>
      <c r="I480" s="26"/>
    </row>
    <row r="481" spans="5:9">
      <c r="E481" s="26"/>
      <c r="F481" s="26"/>
      <c r="G481" s="26"/>
      <c r="H481" s="26"/>
      <c r="I481" s="26"/>
    </row>
    <row r="482" spans="5:9">
      <c r="E482" s="26"/>
      <c r="F482" s="26"/>
      <c r="G482" s="26"/>
      <c r="H482" s="26"/>
      <c r="I482" s="26"/>
    </row>
    <row r="483" spans="5:9">
      <c r="E483" s="26"/>
      <c r="F483" s="26"/>
      <c r="G483" s="26"/>
      <c r="H483" s="26"/>
      <c r="I483" s="26"/>
    </row>
    <row r="484" spans="5:9">
      <c r="E484" s="26"/>
      <c r="F484" s="26"/>
      <c r="G484" s="26"/>
      <c r="H484" s="26"/>
      <c r="I484" s="26"/>
    </row>
    <row r="485" spans="5:9">
      <c r="E485" s="26"/>
      <c r="F485" s="26"/>
      <c r="G485" s="26"/>
      <c r="H485" s="26"/>
      <c r="I485" s="26"/>
    </row>
    <row r="486" spans="5:9">
      <c r="E486" s="26"/>
      <c r="F486" s="26"/>
      <c r="G486" s="26"/>
      <c r="H486" s="26"/>
      <c r="I486" s="26"/>
    </row>
    <row r="487" spans="5:9">
      <c r="E487" s="26"/>
      <c r="F487" s="26"/>
      <c r="G487" s="26"/>
      <c r="H487" s="26"/>
      <c r="I487" s="26"/>
    </row>
    <row r="488" spans="5:9">
      <c r="E488" s="26"/>
      <c r="F488" s="26"/>
      <c r="G488" s="26"/>
      <c r="H488" s="26"/>
      <c r="I488" s="26"/>
    </row>
    <row r="489" spans="5:9">
      <c r="E489" s="26"/>
      <c r="F489" s="26"/>
      <c r="G489" s="26"/>
      <c r="H489" s="26"/>
      <c r="I489" s="26"/>
    </row>
    <row r="490" spans="5:9">
      <c r="E490" s="26"/>
      <c r="F490" s="26"/>
      <c r="G490" s="26"/>
      <c r="H490" s="26"/>
      <c r="I490" s="26"/>
    </row>
    <row r="491" spans="5:9">
      <c r="E491" s="26"/>
      <c r="F491" s="26"/>
      <c r="G491" s="26"/>
      <c r="H491" s="26"/>
      <c r="I491" s="26"/>
    </row>
    <row r="492" spans="5:9">
      <c r="E492" s="26"/>
      <c r="F492" s="26"/>
      <c r="G492" s="26"/>
      <c r="H492" s="26"/>
      <c r="I492" s="26"/>
    </row>
    <row r="493" spans="5:9">
      <c r="E493" s="26"/>
      <c r="F493" s="26"/>
      <c r="G493" s="26"/>
      <c r="H493" s="26"/>
      <c r="I493" s="26"/>
    </row>
    <row r="494" spans="5:9">
      <c r="E494" s="26"/>
      <c r="F494" s="26"/>
      <c r="G494" s="26"/>
      <c r="H494" s="26"/>
      <c r="I494" s="26"/>
    </row>
    <row r="495" spans="5:9">
      <c r="E495" s="26"/>
      <c r="F495" s="26"/>
      <c r="G495" s="26"/>
      <c r="H495" s="26"/>
      <c r="I495" s="26"/>
    </row>
    <row r="496" spans="5:9">
      <c r="E496" s="26"/>
      <c r="F496" s="26"/>
      <c r="G496" s="26"/>
      <c r="H496" s="26"/>
      <c r="I496" s="26"/>
    </row>
    <row r="497" spans="5:9">
      <c r="E497" s="26"/>
      <c r="F497" s="26"/>
      <c r="G497" s="26"/>
      <c r="H497" s="26"/>
      <c r="I497" s="26"/>
    </row>
    <row r="498" spans="5:9">
      <c r="E498" s="26"/>
      <c r="F498" s="26"/>
      <c r="G498" s="26"/>
      <c r="H498" s="26"/>
      <c r="I498" s="26"/>
    </row>
    <row r="499" spans="5:9">
      <c r="E499" s="26"/>
      <c r="F499" s="26"/>
      <c r="G499" s="26"/>
      <c r="H499" s="26"/>
      <c r="I499" s="26"/>
    </row>
    <row r="500" spans="5:9">
      <c r="E500" s="26"/>
      <c r="F500" s="26"/>
      <c r="G500" s="26"/>
      <c r="H500" s="26"/>
      <c r="I500" s="26"/>
    </row>
    <row r="501" spans="5:9">
      <c r="E501" s="26"/>
      <c r="F501" s="26"/>
      <c r="G501" s="26"/>
      <c r="H501" s="26"/>
      <c r="I501" s="26"/>
    </row>
    <row r="502" spans="5:9">
      <c r="E502" s="26"/>
      <c r="F502" s="26"/>
      <c r="G502" s="26"/>
      <c r="H502" s="26"/>
      <c r="I502" s="26"/>
    </row>
    <row r="503" spans="5:9">
      <c r="E503" s="26"/>
      <c r="F503" s="26"/>
      <c r="G503" s="26"/>
      <c r="H503" s="26"/>
      <c r="I503" s="26"/>
    </row>
    <row r="504" spans="5:9">
      <c r="E504" s="26"/>
      <c r="F504" s="26"/>
      <c r="G504" s="26"/>
      <c r="H504" s="26"/>
      <c r="I504" s="26"/>
    </row>
    <row r="505" spans="5:9">
      <c r="E505" s="26"/>
      <c r="F505" s="26"/>
      <c r="G505" s="26"/>
      <c r="H505" s="26"/>
      <c r="I505" s="26"/>
    </row>
    <row r="506" spans="5:9">
      <c r="E506" s="26"/>
      <c r="F506" s="26"/>
      <c r="G506" s="26"/>
      <c r="H506" s="26"/>
      <c r="I506" s="26"/>
    </row>
    <row r="507" spans="5:9">
      <c r="E507" s="26"/>
      <c r="F507" s="26"/>
      <c r="G507" s="26"/>
      <c r="H507" s="26"/>
      <c r="I507" s="26"/>
    </row>
    <row r="508" spans="5:9">
      <c r="E508" s="26"/>
      <c r="F508" s="26"/>
      <c r="G508" s="26"/>
      <c r="H508" s="26"/>
      <c r="I508" s="26"/>
    </row>
    <row r="509" spans="5:9">
      <c r="E509" s="26"/>
      <c r="F509" s="26"/>
      <c r="G509" s="26"/>
      <c r="H509" s="26"/>
      <c r="I509" s="26"/>
    </row>
    <row r="510" spans="5:9">
      <c r="E510" s="26"/>
      <c r="F510" s="26"/>
      <c r="G510" s="26"/>
      <c r="H510" s="26"/>
      <c r="I510" s="26"/>
    </row>
    <row r="511" spans="5:9">
      <c r="E511" s="26"/>
      <c r="F511" s="26"/>
      <c r="G511" s="26"/>
      <c r="H511" s="26"/>
      <c r="I511" s="26"/>
    </row>
    <row r="512" spans="5:9">
      <c r="E512" s="26"/>
      <c r="F512" s="26"/>
      <c r="G512" s="26"/>
      <c r="H512" s="26"/>
      <c r="I512" s="26"/>
    </row>
    <row r="513" spans="5:9">
      <c r="E513" s="26"/>
      <c r="F513" s="26"/>
      <c r="G513" s="26"/>
      <c r="H513" s="26"/>
      <c r="I513" s="26"/>
    </row>
    <row r="514" spans="5:9">
      <c r="E514" s="26"/>
      <c r="F514" s="26"/>
      <c r="G514" s="26"/>
      <c r="H514" s="26"/>
      <c r="I514" s="26"/>
    </row>
    <row r="515" spans="5:9">
      <c r="E515" s="26"/>
      <c r="F515" s="26"/>
      <c r="G515" s="26"/>
      <c r="H515" s="26"/>
      <c r="I515" s="26"/>
    </row>
    <row r="516" spans="5:9">
      <c r="E516" s="26"/>
      <c r="F516" s="26"/>
      <c r="G516" s="26"/>
      <c r="H516" s="26"/>
      <c r="I516" s="26"/>
    </row>
    <row r="517" spans="5:9">
      <c r="E517" s="26"/>
      <c r="F517" s="26"/>
      <c r="G517" s="26"/>
      <c r="H517" s="26"/>
      <c r="I517" s="26"/>
    </row>
    <row r="518" spans="5:9">
      <c r="E518" s="26"/>
      <c r="F518" s="26"/>
      <c r="G518" s="26"/>
      <c r="H518" s="26"/>
      <c r="I518" s="26"/>
    </row>
    <row r="519" spans="5:9">
      <c r="E519" s="26"/>
      <c r="F519" s="26"/>
      <c r="G519" s="26"/>
      <c r="H519" s="26"/>
      <c r="I519" s="26"/>
    </row>
    <row r="520" spans="5:9">
      <c r="E520" s="26"/>
      <c r="F520" s="26"/>
      <c r="G520" s="26"/>
      <c r="H520" s="26"/>
      <c r="I520" s="26"/>
    </row>
    <row r="521" spans="5:9">
      <c r="E521" s="26"/>
      <c r="F521" s="26"/>
      <c r="G521" s="26"/>
      <c r="H521" s="26"/>
      <c r="I521" s="26"/>
    </row>
    <row r="522" spans="5:9">
      <c r="E522" s="26"/>
      <c r="F522" s="26"/>
      <c r="G522" s="26"/>
      <c r="H522" s="26"/>
      <c r="I522" s="26"/>
    </row>
    <row r="523" spans="5:9">
      <c r="E523" s="26"/>
      <c r="F523" s="26"/>
      <c r="G523" s="26"/>
      <c r="H523" s="26"/>
      <c r="I523" s="26"/>
    </row>
    <row r="524" spans="5:9">
      <c r="E524" s="26"/>
      <c r="F524" s="26"/>
      <c r="G524" s="26"/>
      <c r="H524" s="26"/>
      <c r="I524" s="26"/>
    </row>
    <row r="525" spans="5:9">
      <c r="E525" s="26"/>
      <c r="F525" s="26"/>
      <c r="G525" s="26"/>
      <c r="H525" s="26"/>
      <c r="I525" s="26"/>
    </row>
    <row r="526" spans="5:9">
      <c r="E526" s="26"/>
      <c r="F526" s="26"/>
      <c r="G526" s="26"/>
      <c r="H526" s="26"/>
      <c r="I526" s="26"/>
    </row>
    <row r="527" spans="5:9">
      <c r="E527" s="26"/>
      <c r="F527" s="26"/>
      <c r="G527" s="26"/>
      <c r="H527" s="26"/>
      <c r="I527" s="26"/>
    </row>
    <row r="528" spans="5:9">
      <c r="E528" s="26"/>
      <c r="F528" s="26"/>
      <c r="G528" s="26"/>
      <c r="H528" s="26"/>
      <c r="I528" s="26"/>
    </row>
    <row r="529" spans="5:9">
      <c r="E529" s="26"/>
      <c r="F529" s="26"/>
      <c r="G529" s="26"/>
      <c r="H529" s="26"/>
      <c r="I529" s="26"/>
    </row>
    <row r="530" spans="5:9">
      <c r="E530" s="26"/>
      <c r="F530" s="26"/>
      <c r="G530" s="26"/>
      <c r="H530" s="26"/>
      <c r="I530" s="26"/>
    </row>
    <row r="531" spans="5:9">
      <c r="E531" s="26"/>
      <c r="F531" s="26"/>
      <c r="G531" s="26"/>
      <c r="H531" s="26"/>
      <c r="I531" s="26"/>
    </row>
    <row r="532" spans="5:9">
      <c r="E532" s="26"/>
      <c r="F532" s="26"/>
      <c r="G532" s="26"/>
      <c r="H532" s="26"/>
      <c r="I532" s="26"/>
    </row>
    <row r="533" spans="5:9">
      <c r="E533" s="26"/>
      <c r="F533" s="26"/>
      <c r="G533" s="26"/>
      <c r="H533" s="26"/>
      <c r="I533" s="26"/>
    </row>
    <row r="534" spans="5:9">
      <c r="E534" s="26"/>
      <c r="F534" s="26"/>
      <c r="G534" s="26"/>
      <c r="H534" s="26"/>
      <c r="I534" s="26"/>
    </row>
    <row r="535" spans="5:9">
      <c r="E535" s="26"/>
      <c r="F535" s="26"/>
      <c r="G535" s="26"/>
      <c r="H535" s="26"/>
      <c r="I535" s="26"/>
    </row>
    <row r="536" spans="5:9">
      <c r="E536" s="26"/>
      <c r="F536" s="26"/>
      <c r="G536" s="26"/>
      <c r="H536" s="26"/>
      <c r="I536" s="26"/>
    </row>
    <row r="537" spans="5:9">
      <c r="E537" s="26"/>
      <c r="F537" s="26"/>
      <c r="G537" s="26"/>
      <c r="H537" s="26"/>
      <c r="I537" s="26"/>
    </row>
    <row r="538" spans="5:9">
      <c r="E538" s="26"/>
      <c r="F538" s="26"/>
      <c r="G538" s="26"/>
      <c r="H538" s="26"/>
      <c r="I538" s="26"/>
    </row>
    <row r="539" spans="5:9">
      <c r="E539" s="26"/>
      <c r="F539" s="26"/>
      <c r="G539" s="26"/>
      <c r="H539" s="26"/>
      <c r="I539" s="26"/>
    </row>
    <row r="540" spans="5:9">
      <c r="E540" s="26"/>
      <c r="F540" s="26"/>
      <c r="G540" s="26"/>
      <c r="H540" s="26"/>
      <c r="I540" s="26"/>
    </row>
    <row r="541" spans="5:9">
      <c r="E541" s="26"/>
      <c r="F541" s="26"/>
      <c r="G541" s="26"/>
      <c r="H541" s="26"/>
      <c r="I541" s="26"/>
    </row>
    <row r="542" spans="5:9">
      <c r="E542" s="26"/>
      <c r="F542" s="26"/>
      <c r="G542" s="26"/>
      <c r="H542" s="26"/>
      <c r="I542" s="26"/>
    </row>
    <row r="543" spans="5:9">
      <c r="E543" s="26"/>
      <c r="F543" s="26"/>
      <c r="G543" s="26"/>
      <c r="H543" s="26"/>
      <c r="I543" s="26"/>
    </row>
    <row r="544" spans="5:9">
      <c r="E544" s="26"/>
      <c r="F544" s="26"/>
      <c r="G544" s="26"/>
      <c r="H544" s="26"/>
      <c r="I544" s="26"/>
    </row>
    <row r="545" spans="5:9">
      <c r="E545" s="26"/>
      <c r="F545" s="26"/>
      <c r="G545" s="26"/>
      <c r="H545" s="26"/>
      <c r="I545" s="26"/>
    </row>
    <row r="546" spans="5:9">
      <c r="E546" s="26"/>
      <c r="F546" s="26"/>
      <c r="G546" s="26"/>
      <c r="H546" s="26"/>
      <c r="I546" s="26"/>
    </row>
    <row r="547" spans="5:9">
      <c r="E547" s="26"/>
      <c r="F547" s="26"/>
      <c r="G547" s="26"/>
      <c r="H547" s="26"/>
      <c r="I547" s="26"/>
    </row>
    <row r="548" spans="5:9">
      <c r="E548" s="26"/>
      <c r="F548" s="26"/>
      <c r="G548" s="26"/>
      <c r="H548" s="26"/>
      <c r="I548" s="26"/>
    </row>
    <row r="549" spans="5:9">
      <c r="E549" s="26"/>
      <c r="F549" s="26"/>
      <c r="G549" s="26"/>
      <c r="H549" s="26"/>
      <c r="I549" s="26"/>
    </row>
    <row r="550" spans="5:9">
      <c r="E550" s="26"/>
      <c r="F550" s="26"/>
      <c r="G550" s="26"/>
      <c r="H550" s="26"/>
      <c r="I550" s="26"/>
    </row>
    <row r="551" spans="5:9">
      <c r="E551" s="26"/>
      <c r="F551" s="26"/>
      <c r="G551" s="26"/>
      <c r="H551" s="26"/>
      <c r="I551" s="26"/>
    </row>
    <row r="552" spans="5:9">
      <c r="E552" s="26"/>
      <c r="F552" s="26"/>
      <c r="G552" s="26"/>
      <c r="H552" s="26"/>
      <c r="I552" s="26"/>
    </row>
    <row r="553" spans="5:9">
      <c r="E553" s="26"/>
      <c r="F553" s="26"/>
      <c r="G553" s="26"/>
      <c r="H553" s="26"/>
      <c r="I553" s="26"/>
    </row>
    <row r="554" spans="5:9">
      <c r="E554" s="26"/>
      <c r="F554" s="26"/>
      <c r="G554" s="26"/>
      <c r="H554" s="26"/>
      <c r="I554" s="26"/>
    </row>
    <row r="555" spans="5:9">
      <c r="E555" s="26"/>
      <c r="F555" s="26"/>
      <c r="G555" s="26"/>
      <c r="H555" s="26"/>
      <c r="I555" s="26"/>
    </row>
    <row r="556" spans="5:9">
      <c r="E556" s="26"/>
      <c r="F556" s="26"/>
      <c r="G556" s="26"/>
      <c r="H556" s="26"/>
      <c r="I556" s="26"/>
    </row>
    <row r="557" spans="5:9">
      <c r="E557" s="26"/>
      <c r="F557" s="26"/>
      <c r="G557" s="26"/>
      <c r="H557" s="26"/>
      <c r="I557" s="26"/>
    </row>
    <row r="558" spans="5:9">
      <c r="E558" s="26"/>
      <c r="F558" s="26"/>
      <c r="G558" s="26"/>
      <c r="H558" s="26"/>
      <c r="I558" s="26"/>
    </row>
    <row r="559" spans="5:9">
      <c r="E559" s="26"/>
      <c r="F559" s="26"/>
      <c r="G559" s="26"/>
      <c r="H559" s="26"/>
      <c r="I559" s="26"/>
    </row>
    <row r="560" spans="5:9">
      <c r="E560" s="26"/>
      <c r="F560" s="26"/>
      <c r="G560" s="26"/>
      <c r="H560" s="26"/>
      <c r="I560" s="26"/>
    </row>
    <row r="561" spans="5:9">
      <c r="E561" s="26"/>
      <c r="F561" s="26"/>
      <c r="G561" s="26"/>
      <c r="H561" s="26"/>
      <c r="I561" s="26"/>
    </row>
    <row r="562" spans="5:9">
      <c r="E562" s="26"/>
      <c r="F562" s="26"/>
      <c r="G562" s="26"/>
      <c r="H562" s="26"/>
      <c r="I562" s="26"/>
    </row>
    <row r="563" spans="5:9">
      <c r="E563" s="26"/>
      <c r="F563" s="26"/>
      <c r="G563" s="26"/>
      <c r="H563" s="26"/>
      <c r="I563" s="26"/>
    </row>
    <row r="564" spans="5:9">
      <c r="E564" s="26"/>
      <c r="F564" s="26"/>
      <c r="G564" s="26"/>
      <c r="H564" s="26"/>
      <c r="I564" s="26"/>
    </row>
    <row r="565" spans="5:9">
      <c r="E565" s="26"/>
      <c r="F565" s="26"/>
      <c r="G565" s="26"/>
      <c r="H565" s="26"/>
      <c r="I565" s="26"/>
    </row>
    <row r="566" spans="5:9">
      <c r="E566" s="26"/>
      <c r="F566" s="26"/>
      <c r="G566" s="26"/>
      <c r="H566" s="26"/>
      <c r="I566" s="26"/>
    </row>
    <row r="567" spans="5:9">
      <c r="E567" s="26"/>
      <c r="F567" s="26"/>
      <c r="G567" s="26"/>
      <c r="H567" s="26"/>
      <c r="I567" s="26"/>
    </row>
    <row r="568" spans="5:9">
      <c r="E568" s="26"/>
      <c r="F568" s="26"/>
      <c r="G568" s="26"/>
      <c r="H568" s="26"/>
      <c r="I568" s="26"/>
    </row>
    <row r="569" spans="5:9">
      <c r="E569" s="26"/>
      <c r="F569" s="26"/>
      <c r="G569" s="26"/>
      <c r="H569" s="26"/>
      <c r="I569" s="26"/>
    </row>
    <row r="570" spans="5:9">
      <c r="E570" s="26"/>
      <c r="F570" s="26"/>
      <c r="G570" s="26"/>
      <c r="H570" s="26"/>
      <c r="I570" s="26"/>
    </row>
    <row r="571" spans="5:9">
      <c r="E571" s="26"/>
      <c r="F571" s="26"/>
      <c r="G571" s="26"/>
      <c r="H571" s="26"/>
      <c r="I571" s="26"/>
    </row>
    <row r="572" spans="5:9">
      <c r="E572" s="26"/>
      <c r="F572" s="26"/>
      <c r="G572" s="26"/>
      <c r="H572" s="26"/>
      <c r="I572" s="26"/>
    </row>
    <row r="573" spans="5:9">
      <c r="E573" s="26"/>
      <c r="F573" s="26"/>
      <c r="G573" s="26"/>
      <c r="H573" s="26"/>
      <c r="I573" s="26"/>
    </row>
    <row r="574" spans="5:9">
      <c r="E574" s="26"/>
      <c r="F574" s="26"/>
      <c r="G574" s="26"/>
      <c r="H574" s="26"/>
      <c r="I574" s="26"/>
    </row>
    <row r="575" spans="5:9">
      <c r="E575" s="26"/>
      <c r="F575" s="26"/>
      <c r="G575" s="26"/>
      <c r="H575" s="26"/>
      <c r="I575" s="26"/>
    </row>
    <row r="576" spans="5:9">
      <c r="E576" s="26"/>
      <c r="F576" s="26"/>
      <c r="G576" s="26"/>
      <c r="H576" s="26"/>
      <c r="I576" s="26"/>
    </row>
    <row r="577" spans="5:9">
      <c r="E577" s="26"/>
      <c r="F577" s="26"/>
      <c r="G577" s="26"/>
      <c r="H577" s="26"/>
      <c r="I577" s="26"/>
    </row>
    <row r="578" spans="5:9">
      <c r="E578" s="26"/>
      <c r="F578" s="26"/>
      <c r="G578" s="26"/>
      <c r="H578" s="26"/>
      <c r="I578" s="26"/>
    </row>
    <row r="579" spans="5:9">
      <c r="E579" s="26"/>
      <c r="F579" s="26"/>
      <c r="G579" s="26"/>
      <c r="H579" s="26"/>
      <c r="I579" s="26"/>
    </row>
    <row r="580" spans="5:9">
      <c r="E580" s="26"/>
      <c r="F580" s="26"/>
      <c r="G580" s="26"/>
      <c r="H580" s="26"/>
      <c r="I580" s="26"/>
    </row>
    <row r="581" spans="5:9">
      <c r="E581" s="26"/>
      <c r="F581" s="26"/>
      <c r="G581" s="26"/>
      <c r="H581" s="26"/>
      <c r="I581" s="26"/>
    </row>
    <row r="582" spans="5:9">
      <c r="E582" s="26"/>
      <c r="F582" s="26"/>
      <c r="G582" s="26"/>
      <c r="H582" s="26"/>
      <c r="I582" s="26"/>
    </row>
    <row r="583" spans="5:9">
      <c r="E583" s="26"/>
      <c r="F583" s="26"/>
      <c r="G583" s="26"/>
      <c r="H583" s="26"/>
      <c r="I583" s="26"/>
    </row>
    <row r="584" spans="5:9">
      <c r="E584" s="26"/>
      <c r="F584" s="26"/>
      <c r="G584" s="26"/>
      <c r="H584" s="26"/>
      <c r="I584" s="26"/>
    </row>
    <row r="585" spans="5:9">
      <c r="E585" s="26"/>
      <c r="F585" s="26"/>
      <c r="G585" s="26"/>
      <c r="H585" s="26"/>
      <c r="I585" s="26"/>
    </row>
    <row r="586" spans="5:9">
      <c r="E586" s="26"/>
      <c r="F586" s="26"/>
      <c r="G586" s="26"/>
      <c r="H586" s="26"/>
      <c r="I586" s="26"/>
    </row>
    <row r="587" spans="5:9">
      <c r="E587" s="26"/>
      <c r="F587" s="26"/>
      <c r="G587" s="26"/>
      <c r="H587" s="26"/>
      <c r="I587" s="26"/>
    </row>
    <row r="588" spans="5:9">
      <c r="E588" s="26"/>
      <c r="F588" s="26"/>
      <c r="G588" s="26"/>
      <c r="H588" s="26"/>
      <c r="I588" s="26"/>
    </row>
    <row r="589" spans="5:9">
      <c r="E589" s="26"/>
      <c r="F589" s="26"/>
      <c r="G589" s="26"/>
      <c r="H589" s="26"/>
      <c r="I589" s="26"/>
    </row>
    <row r="590" spans="5:9">
      <c r="E590" s="26"/>
      <c r="F590" s="26"/>
      <c r="G590" s="26"/>
      <c r="H590" s="26"/>
      <c r="I590" s="26"/>
    </row>
    <row r="591" spans="5:9">
      <c r="E591" s="26"/>
      <c r="F591" s="26"/>
      <c r="G591" s="26"/>
      <c r="H591" s="26"/>
      <c r="I591" s="26"/>
    </row>
    <row r="592" spans="5:9">
      <c r="E592" s="26"/>
      <c r="F592" s="26"/>
      <c r="G592" s="26"/>
      <c r="H592" s="26"/>
      <c r="I592" s="26"/>
    </row>
    <row r="593" spans="5:9">
      <c r="E593" s="26"/>
      <c r="F593" s="26"/>
      <c r="G593" s="26"/>
      <c r="H593" s="26"/>
      <c r="I593" s="26"/>
    </row>
    <row r="594" spans="5:9">
      <c r="E594" s="26"/>
      <c r="F594" s="26"/>
      <c r="G594" s="26"/>
      <c r="H594" s="26"/>
      <c r="I594" s="26"/>
    </row>
    <row r="595" spans="5:9">
      <c r="E595" s="26"/>
      <c r="F595" s="26"/>
      <c r="G595" s="26"/>
      <c r="H595" s="26"/>
      <c r="I595" s="26"/>
    </row>
    <row r="596" spans="5:9">
      <c r="E596" s="26"/>
      <c r="F596" s="26"/>
      <c r="G596" s="26"/>
      <c r="H596" s="26"/>
      <c r="I596" s="26"/>
    </row>
    <row r="597" spans="5:9">
      <c r="E597" s="26"/>
      <c r="F597" s="26"/>
      <c r="G597" s="26"/>
      <c r="H597" s="26"/>
      <c r="I597" s="26"/>
    </row>
    <row r="598" spans="5:9">
      <c r="E598" s="26"/>
      <c r="F598" s="26"/>
      <c r="G598" s="26"/>
      <c r="H598" s="26"/>
      <c r="I598" s="26"/>
    </row>
    <row r="599" spans="5:9">
      <c r="E599" s="26"/>
      <c r="F599" s="26"/>
      <c r="G599" s="26"/>
      <c r="H599" s="26"/>
      <c r="I599" s="26"/>
    </row>
    <row r="600" spans="5:9">
      <c r="E600" s="26"/>
      <c r="F600" s="26"/>
      <c r="G600" s="26"/>
      <c r="H600" s="26"/>
      <c r="I600" s="26"/>
    </row>
    <row r="601" spans="5:9">
      <c r="E601" s="26"/>
      <c r="F601" s="26"/>
      <c r="G601" s="26"/>
      <c r="H601" s="26"/>
      <c r="I601" s="26"/>
    </row>
    <row r="602" spans="5:9">
      <c r="E602" s="26"/>
      <c r="F602" s="26"/>
      <c r="G602" s="26"/>
      <c r="H602" s="26"/>
      <c r="I602" s="26"/>
    </row>
    <row r="603" spans="5:9">
      <c r="E603" s="26"/>
      <c r="F603" s="26"/>
      <c r="G603" s="26"/>
      <c r="H603" s="26"/>
      <c r="I603" s="26"/>
    </row>
    <row r="604" spans="5:9">
      <c r="E604" s="26"/>
      <c r="F604" s="26"/>
      <c r="G604" s="26"/>
      <c r="H604" s="26"/>
      <c r="I604" s="26"/>
    </row>
    <row r="605" spans="5:9">
      <c r="E605" s="26"/>
      <c r="F605" s="26"/>
      <c r="G605" s="26"/>
      <c r="H605" s="26"/>
      <c r="I605" s="26"/>
    </row>
    <row r="606" spans="5:9">
      <c r="E606" s="26"/>
      <c r="F606" s="26"/>
      <c r="G606" s="26"/>
      <c r="H606" s="26"/>
      <c r="I606" s="26"/>
    </row>
    <row r="607" spans="5:9">
      <c r="E607" s="26"/>
      <c r="F607" s="26"/>
      <c r="G607" s="26"/>
      <c r="H607" s="26"/>
      <c r="I607" s="26"/>
    </row>
    <row r="608" spans="5:9">
      <c r="E608" s="26"/>
      <c r="F608" s="26"/>
      <c r="G608" s="26"/>
      <c r="H608" s="26"/>
      <c r="I608" s="26"/>
    </row>
    <row r="609" spans="5:9">
      <c r="E609" s="26"/>
      <c r="F609" s="26"/>
      <c r="G609" s="26"/>
      <c r="H609" s="26"/>
      <c r="I609" s="26"/>
    </row>
    <row r="610" spans="5:9">
      <c r="E610" s="26"/>
      <c r="F610" s="26"/>
      <c r="G610" s="26"/>
      <c r="H610" s="26"/>
      <c r="I610" s="26"/>
    </row>
    <row r="611" spans="5:9">
      <c r="E611" s="26"/>
      <c r="F611" s="26"/>
      <c r="G611" s="26"/>
      <c r="H611" s="26"/>
      <c r="I611" s="26"/>
    </row>
    <row r="612" spans="5:9">
      <c r="E612" s="26"/>
      <c r="F612" s="26"/>
      <c r="G612" s="26"/>
      <c r="H612" s="26"/>
      <c r="I612" s="26"/>
    </row>
    <row r="613" spans="5:9">
      <c r="E613" s="26"/>
      <c r="F613" s="26"/>
      <c r="G613" s="26"/>
      <c r="H613" s="26"/>
      <c r="I613" s="26"/>
    </row>
    <row r="614" spans="5:9">
      <c r="E614" s="26"/>
      <c r="F614" s="26"/>
      <c r="G614" s="26"/>
      <c r="H614" s="26"/>
      <c r="I614" s="26"/>
    </row>
    <row r="615" spans="5:9">
      <c r="E615" s="26"/>
      <c r="F615" s="26"/>
      <c r="G615" s="26"/>
      <c r="H615" s="26"/>
      <c r="I615" s="26"/>
    </row>
    <row r="616" spans="5:9">
      <c r="E616" s="26"/>
      <c r="F616" s="26"/>
      <c r="G616" s="26"/>
      <c r="H616" s="26"/>
      <c r="I616" s="26"/>
    </row>
    <row r="617" spans="5:9">
      <c r="E617" s="26"/>
      <c r="F617" s="26"/>
      <c r="G617" s="26"/>
      <c r="H617" s="26"/>
      <c r="I617" s="26"/>
    </row>
    <row r="618" spans="5:9">
      <c r="E618" s="26"/>
      <c r="F618" s="26"/>
      <c r="G618" s="26"/>
      <c r="H618" s="26"/>
      <c r="I618" s="26"/>
    </row>
    <row r="619" spans="5:9">
      <c r="E619" s="26"/>
      <c r="F619" s="26"/>
      <c r="G619" s="26"/>
      <c r="H619" s="26"/>
      <c r="I619" s="26"/>
    </row>
    <row r="620" spans="5:9">
      <c r="E620" s="26"/>
      <c r="F620" s="26"/>
      <c r="G620" s="26"/>
      <c r="H620" s="26"/>
      <c r="I620" s="26"/>
    </row>
    <row r="621" spans="5:9">
      <c r="E621" s="26"/>
      <c r="F621" s="26"/>
      <c r="G621" s="26"/>
      <c r="H621" s="26"/>
      <c r="I621" s="26"/>
    </row>
    <row r="622" spans="5:9">
      <c r="E622" s="26"/>
      <c r="F622" s="26"/>
      <c r="G622" s="26"/>
      <c r="H622" s="26"/>
      <c r="I622" s="26"/>
    </row>
    <row r="623" spans="5:9">
      <c r="E623" s="26"/>
      <c r="F623" s="26"/>
      <c r="G623" s="26"/>
      <c r="H623" s="26"/>
      <c r="I623" s="26"/>
    </row>
    <row r="624" spans="5:9">
      <c r="E624" s="26"/>
      <c r="F624" s="26"/>
      <c r="G624" s="26"/>
      <c r="H624" s="26"/>
      <c r="I624" s="26"/>
    </row>
    <row r="625" spans="5:9">
      <c r="E625" s="26"/>
      <c r="F625" s="26"/>
      <c r="G625" s="26"/>
      <c r="H625" s="26"/>
      <c r="I625" s="26"/>
    </row>
    <row r="626" spans="5:9">
      <c r="E626" s="26"/>
      <c r="F626" s="26"/>
      <c r="G626" s="26"/>
      <c r="H626" s="26"/>
      <c r="I626" s="26"/>
    </row>
    <row r="627" spans="5:9">
      <c r="E627" s="26"/>
      <c r="F627" s="26"/>
      <c r="G627" s="26"/>
      <c r="H627" s="26"/>
      <c r="I627" s="26"/>
    </row>
    <row r="628" spans="5:9">
      <c r="E628" s="26"/>
      <c r="F628" s="26"/>
      <c r="G628" s="26"/>
      <c r="H628" s="26"/>
      <c r="I628" s="26"/>
    </row>
    <row r="629" spans="5:9">
      <c r="E629" s="26"/>
      <c r="F629" s="26"/>
      <c r="G629" s="26"/>
      <c r="H629" s="26"/>
      <c r="I629" s="26"/>
    </row>
    <row r="630" spans="5:9">
      <c r="E630" s="26"/>
      <c r="F630" s="26"/>
      <c r="G630" s="26"/>
      <c r="H630" s="26"/>
      <c r="I630" s="26"/>
    </row>
    <row r="631" spans="5:9">
      <c r="E631" s="26"/>
      <c r="F631" s="26"/>
      <c r="G631" s="26"/>
      <c r="H631" s="26"/>
      <c r="I631" s="26"/>
    </row>
    <row r="632" spans="5:9">
      <c r="E632" s="26"/>
      <c r="F632" s="26"/>
      <c r="G632" s="26"/>
      <c r="H632" s="26"/>
      <c r="I632" s="26"/>
    </row>
    <row r="633" spans="5:9">
      <c r="E633" s="26"/>
      <c r="F633" s="26"/>
      <c r="G633" s="26"/>
      <c r="H633" s="26"/>
      <c r="I633" s="26"/>
    </row>
    <row r="634" spans="5:9">
      <c r="E634" s="26"/>
      <c r="F634" s="26"/>
      <c r="G634" s="26"/>
      <c r="H634" s="26"/>
      <c r="I634" s="26"/>
    </row>
    <row r="635" spans="5:9">
      <c r="E635" s="26"/>
      <c r="F635" s="26"/>
      <c r="G635" s="26"/>
      <c r="H635" s="26"/>
      <c r="I635" s="26"/>
    </row>
    <row r="636" spans="5:9">
      <c r="E636" s="26"/>
      <c r="F636" s="26"/>
      <c r="G636" s="26"/>
      <c r="H636" s="26"/>
      <c r="I636" s="26"/>
    </row>
    <row r="637" spans="5:9">
      <c r="E637" s="26"/>
      <c r="F637" s="26"/>
      <c r="G637" s="26"/>
      <c r="H637" s="26"/>
      <c r="I637" s="26"/>
    </row>
    <row r="638" spans="5:9">
      <c r="E638" s="26"/>
      <c r="F638" s="26"/>
      <c r="G638" s="26"/>
      <c r="H638" s="26"/>
      <c r="I638" s="26"/>
    </row>
    <row r="639" spans="5:9">
      <c r="E639" s="26"/>
      <c r="F639" s="26"/>
      <c r="G639" s="26"/>
      <c r="H639" s="26"/>
      <c r="I639" s="26"/>
    </row>
    <row r="640" spans="5:9">
      <c r="E640" s="26"/>
      <c r="F640" s="26"/>
      <c r="G640" s="26"/>
      <c r="H640" s="26"/>
      <c r="I640" s="26"/>
    </row>
    <row r="641" spans="5:9">
      <c r="E641" s="26"/>
      <c r="F641" s="26"/>
      <c r="G641" s="26"/>
      <c r="H641" s="26"/>
      <c r="I641" s="26"/>
    </row>
    <row r="642" spans="5:9">
      <c r="E642" s="26"/>
      <c r="F642" s="26"/>
      <c r="G642" s="26"/>
      <c r="H642" s="26"/>
      <c r="I642" s="26"/>
    </row>
    <row r="643" spans="5:9">
      <c r="E643" s="26"/>
      <c r="F643" s="26"/>
      <c r="G643" s="26"/>
      <c r="H643" s="26"/>
      <c r="I643" s="26"/>
    </row>
    <row r="644" spans="5:9">
      <c r="E644" s="26"/>
      <c r="F644" s="26"/>
      <c r="G644" s="26"/>
      <c r="H644" s="26"/>
      <c r="I644" s="26"/>
    </row>
    <row r="645" spans="5:9">
      <c r="E645" s="26"/>
      <c r="F645" s="26"/>
      <c r="G645" s="26"/>
      <c r="H645" s="26"/>
      <c r="I645" s="26"/>
    </row>
    <row r="646" spans="5:9">
      <c r="E646" s="26"/>
      <c r="F646" s="26"/>
      <c r="G646" s="26"/>
      <c r="H646" s="26"/>
      <c r="I646" s="26"/>
    </row>
    <row r="647" spans="5:9">
      <c r="E647" s="26"/>
      <c r="F647" s="26"/>
      <c r="G647" s="26"/>
      <c r="H647" s="26"/>
      <c r="I647" s="26"/>
    </row>
    <row r="648" spans="5:9">
      <c r="E648" s="26"/>
      <c r="F648" s="26"/>
      <c r="G648" s="26"/>
      <c r="H648" s="26"/>
      <c r="I648" s="26"/>
    </row>
    <row r="649" spans="5:9">
      <c r="E649" s="26"/>
      <c r="F649" s="26"/>
      <c r="G649" s="26"/>
      <c r="H649" s="26"/>
      <c r="I649" s="26"/>
    </row>
    <row r="650" spans="5:9">
      <c r="E650" s="26"/>
      <c r="F650" s="26"/>
      <c r="G650" s="26"/>
      <c r="H650" s="26"/>
      <c r="I650" s="26"/>
    </row>
    <row r="651" spans="5:9">
      <c r="E651" s="26"/>
      <c r="F651" s="26"/>
      <c r="G651" s="26"/>
      <c r="H651" s="26"/>
      <c r="I651" s="26"/>
    </row>
    <row r="652" spans="5:9">
      <c r="E652" s="26"/>
      <c r="F652" s="26"/>
      <c r="G652" s="26"/>
      <c r="H652" s="26"/>
      <c r="I652" s="26"/>
    </row>
    <row r="653" spans="5:9">
      <c r="E653" s="26"/>
      <c r="F653" s="26"/>
      <c r="G653" s="26"/>
      <c r="H653" s="26"/>
      <c r="I653" s="26"/>
    </row>
    <row r="654" spans="5:9">
      <c r="E654" s="26"/>
      <c r="F654" s="26"/>
      <c r="G654" s="26"/>
      <c r="H654" s="26"/>
      <c r="I654" s="26"/>
    </row>
    <row r="655" spans="5:9">
      <c r="E655" s="26"/>
      <c r="F655" s="26"/>
      <c r="G655" s="26"/>
      <c r="H655" s="26"/>
      <c r="I655" s="26"/>
    </row>
    <row r="656" spans="5:9">
      <c r="E656" s="26"/>
      <c r="F656" s="26"/>
      <c r="G656" s="26"/>
      <c r="H656" s="26"/>
      <c r="I656" s="26"/>
    </row>
    <row r="657" spans="5:9">
      <c r="E657" s="26"/>
      <c r="F657" s="26"/>
      <c r="G657" s="26"/>
      <c r="H657" s="26"/>
      <c r="I657" s="26"/>
    </row>
    <row r="658" spans="5:9">
      <c r="E658" s="26"/>
      <c r="F658" s="26"/>
      <c r="G658" s="26"/>
      <c r="H658" s="26"/>
      <c r="I658" s="26"/>
    </row>
    <row r="659" spans="5:9">
      <c r="E659" s="26"/>
      <c r="F659" s="26"/>
      <c r="G659" s="26"/>
      <c r="H659" s="26"/>
      <c r="I659" s="26"/>
    </row>
    <row r="660" spans="5:9">
      <c r="E660" s="26"/>
      <c r="F660" s="26"/>
      <c r="G660" s="26"/>
      <c r="H660" s="26"/>
      <c r="I660" s="26"/>
    </row>
    <row r="661" spans="5:9">
      <c r="E661" s="26"/>
      <c r="F661" s="26"/>
      <c r="G661" s="26"/>
      <c r="H661" s="26"/>
      <c r="I661" s="26"/>
    </row>
    <row r="662" spans="5:9">
      <c r="E662" s="26"/>
      <c r="F662" s="26"/>
      <c r="G662" s="26"/>
      <c r="H662" s="26"/>
      <c r="I662" s="26"/>
    </row>
    <row r="663" spans="5:9">
      <c r="E663" s="26"/>
      <c r="F663" s="26"/>
      <c r="G663" s="26"/>
      <c r="H663" s="26"/>
      <c r="I663" s="26"/>
    </row>
    <row r="664" spans="5:9">
      <c r="E664" s="26"/>
      <c r="F664" s="26"/>
      <c r="G664" s="26"/>
      <c r="H664" s="26"/>
      <c r="I664" s="26"/>
    </row>
    <row r="665" spans="5:9">
      <c r="E665" s="26"/>
      <c r="F665" s="26"/>
      <c r="G665" s="26"/>
      <c r="H665" s="26"/>
      <c r="I665" s="26"/>
    </row>
    <row r="666" spans="5:9">
      <c r="E666" s="26"/>
      <c r="F666" s="26"/>
      <c r="G666" s="26"/>
      <c r="H666" s="26"/>
      <c r="I666" s="26"/>
    </row>
    <row r="667" spans="5:9">
      <c r="E667" s="26"/>
      <c r="F667" s="26"/>
      <c r="G667" s="26"/>
      <c r="H667" s="26"/>
      <c r="I667" s="26"/>
    </row>
    <row r="668" spans="5:9">
      <c r="E668" s="26"/>
      <c r="F668" s="26"/>
      <c r="G668" s="26"/>
      <c r="H668" s="26"/>
      <c r="I668" s="26"/>
    </row>
    <row r="669" spans="5:9">
      <c r="E669" s="26"/>
      <c r="F669" s="26"/>
      <c r="G669" s="26"/>
      <c r="H669" s="26"/>
      <c r="I669" s="26"/>
    </row>
    <row r="670" spans="5:9">
      <c r="E670" s="26"/>
      <c r="F670" s="26"/>
      <c r="G670" s="26"/>
      <c r="H670" s="26"/>
      <c r="I670" s="26"/>
    </row>
    <row r="671" spans="5:9">
      <c r="E671" s="26"/>
      <c r="F671" s="26"/>
      <c r="G671" s="26"/>
      <c r="H671" s="26"/>
      <c r="I671" s="26"/>
    </row>
    <row r="672" spans="5:9">
      <c r="E672" s="26"/>
      <c r="F672" s="26"/>
      <c r="G672" s="26"/>
      <c r="H672" s="26"/>
      <c r="I672" s="26"/>
    </row>
    <row r="673" spans="5:9">
      <c r="E673" s="26"/>
      <c r="F673" s="26"/>
      <c r="G673" s="26"/>
      <c r="H673" s="26"/>
      <c r="I673" s="26"/>
    </row>
    <row r="674" spans="5:9">
      <c r="E674" s="26"/>
      <c r="F674" s="26"/>
      <c r="G674" s="26"/>
      <c r="H674" s="26"/>
      <c r="I674" s="26"/>
    </row>
    <row r="675" spans="5:9">
      <c r="E675" s="26"/>
      <c r="F675" s="26"/>
      <c r="G675" s="26"/>
      <c r="H675" s="26"/>
      <c r="I675" s="26"/>
    </row>
    <row r="676" spans="5:9">
      <c r="E676" s="26"/>
      <c r="F676" s="26"/>
      <c r="G676" s="26"/>
      <c r="H676" s="26"/>
      <c r="I676" s="26"/>
    </row>
    <row r="677" spans="5:9">
      <c r="E677" s="26"/>
      <c r="F677" s="26"/>
      <c r="G677" s="26"/>
      <c r="H677" s="26"/>
      <c r="I677" s="26"/>
    </row>
    <row r="678" spans="5:9">
      <c r="E678" s="26"/>
      <c r="F678" s="26"/>
      <c r="G678" s="26"/>
      <c r="H678" s="26"/>
      <c r="I678" s="26"/>
    </row>
    <row r="679" spans="5:9">
      <c r="E679" s="26"/>
      <c r="F679" s="26"/>
      <c r="G679" s="26"/>
      <c r="H679" s="26"/>
      <c r="I679" s="26"/>
    </row>
    <row r="680" spans="5:9">
      <c r="E680" s="26"/>
      <c r="F680" s="26"/>
      <c r="G680" s="26"/>
      <c r="H680" s="26"/>
      <c r="I680" s="26"/>
    </row>
    <row r="681" spans="5:9">
      <c r="E681" s="26"/>
      <c r="F681" s="26"/>
      <c r="G681" s="26"/>
      <c r="H681" s="26"/>
      <c r="I681" s="26"/>
    </row>
    <row r="682" spans="5:9">
      <c r="E682" s="26"/>
      <c r="F682" s="26"/>
      <c r="G682" s="26"/>
      <c r="H682" s="26"/>
      <c r="I682" s="26"/>
    </row>
    <row r="683" spans="5:9">
      <c r="E683" s="26"/>
      <c r="F683" s="26"/>
      <c r="G683" s="26"/>
      <c r="H683" s="26"/>
      <c r="I683" s="26"/>
    </row>
    <row r="684" spans="5:9">
      <c r="E684" s="26"/>
      <c r="F684" s="26"/>
      <c r="G684" s="26"/>
      <c r="H684" s="26"/>
      <c r="I684" s="26"/>
    </row>
    <row r="685" spans="5:9">
      <c r="E685" s="26"/>
      <c r="F685" s="26"/>
      <c r="G685" s="26"/>
      <c r="H685" s="26"/>
      <c r="I685" s="26"/>
    </row>
    <row r="686" spans="5:9">
      <c r="E686" s="26"/>
      <c r="F686" s="26"/>
      <c r="G686" s="26"/>
      <c r="H686" s="26"/>
      <c r="I686" s="26"/>
    </row>
    <row r="687" spans="5:9">
      <c r="E687" s="26"/>
      <c r="F687" s="26"/>
      <c r="G687" s="26"/>
      <c r="H687" s="26"/>
      <c r="I687" s="26"/>
    </row>
    <row r="688" spans="5:9">
      <c r="E688" s="26"/>
      <c r="F688" s="26"/>
      <c r="G688" s="26"/>
      <c r="H688" s="26"/>
      <c r="I688" s="26"/>
    </row>
    <row r="689" spans="5:9">
      <c r="E689" s="26"/>
      <c r="F689" s="26"/>
      <c r="G689" s="26"/>
      <c r="H689" s="26"/>
      <c r="I689" s="26"/>
    </row>
    <row r="690" spans="5:9">
      <c r="E690" s="26"/>
      <c r="F690" s="26"/>
      <c r="G690" s="26"/>
      <c r="H690" s="26"/>
      <c r="I690" s="26"/>
    </row>
    <row r="691" spans="5:9">
      <c r="E691" s="26"/>
      <c r="F691" s="26"/>
      <c r="G691" s="26"/>
      <c r="H691" s="26"/>
      <c r="I691" s="26"/>
    </row>
    <row r="692" spans="5:9">
      <c r="E692" s="26"/>
      <c r="F692" s="26"/>
      <c r="G692" s="26"/>
      <c r="H692" s="26"/>
      <c r="I692" s="26"/>
    </row>
    <row r="693" spans="5:9">
      <c r="E693" s="26"/>
      <c r="F693" s="26"/>
      <c r="G693" s="26"/>
      <c r="H693" s="26"/>
      <c r="I693" s="26"/>
    </row>
    <row r="694" spans="5:9">
      <c r="E694" s="26"/>
      <c r="F694" s="26"/>
      <c r="G694" s="26"/>
      <c r="H694" s="26"/>
      <c r="I694" s="26"/>
    </row>
    <row r="695" spans="5:9">
      <c r="E695" s="26"/>
      <c r="F695" s="26"/>
      <c r="G695" s="26"/>
      <c r="H695" s="26"/>
      <c r="I695" s="26"/>
    </row>
    <row r="696" spans="5:9">
      <c r="E696" s="26"/>
      <c r="F696" s="26"/>
      <c r="G696" s="26"/>
      <c r="H696" s="26"/>
      <c r="I696" s="26"/>
    </row>
    <row r="697" spans="5:9">
      <c r="E697" s="26"/>
      <c r="F697" s="26"/>
      <c r="G697" s="26"/>
      <c r="H697" s="26"/>
      <c r="I697" s="26"/>
    </row>
    <row r="698" spans="5:9">
      <c r="E698" s="26"/>
      <c r="F698" s="26"/>
      <c r="G698" s="26"/>
      <c r="H698" s="26"/>
      <c r="I698" s="26"/>
    </row>
    <row r="699" spans="5:9">
      <c r="E699" s="26"/>
      <c r="F699" s="26"/>
      <c r="G699" s="26"/>
      <c r="H699" s="26"/>
      <c r="I699" s="26"/>
    </row>
    <row r="700" spans="5:9">
      <c r="E700" s="26"/>
      <c r="F700" s="26"/>
      <c r="G700" s="26"/>
      <c r="H700" s="26"/>
      <c r="I700" s="26"/>
    </row>
    <row r="701" spans="5:9">
      <c r="E701" s="26"/>
      <c r="F701" s="26"/>
      <c r="G701" s="26"/>
      <c r="H701" s="26"/>
      <c r="I701" s="26"/>
    </row>
    <row r="702" spans="5:9">
      <c r="E702" s="26"/>
      <c r="F702" s="26"/>
      <c r="G702" s="26"/>
      <c r="H702" s="26"/>
      <c r="I702" s="26"/>
    </row>
    <row r="703" spans="5:9">
      <c r="E703" s="26"/>
      <c r="F703" s="26"/>
      <c r="G703" s="26"/>
      <c r="H703" s="26"/>
      <c r="I703" s="26"/>
    </row>
    <row r="704" spans="5:9">
      <c r="E704" s="26"/>
      <c r="F704" s="26"/>
      <c r="G704" s="26"/>
      <c r="H704" s="26"/>
      <c r="I704" s="26"/>
    </row>
    <row r="705" spans="5:9">
      <c r="E705" s="26"/>
      <c r="F705" s="26"/>
      <c r="G705" s="26"/>
      <c r="H705" s="26"/>
      <c r="I705" s="26"/>
    </row>
    <row r="706" spans="5:9">
      <c r="E706" s="26"/>
      <c r="F706" s="26"/>
      <c r="G706" s="26"/>
      <c r="H706" s="26"/>
      <c r="I706" s="26"/>
    </row>
    <row r="707" spans="5:9">
      <c r="E707" s="26"/>
      <c r="F707" s="26"/>
      <c r="G707" s="26"/>
      <c r="H707" s="26"/>
      <c r="I707" s="26"/>
    </row>
    <row r="708" spans="5:9">
      <c r="E708" s="26"/>
      <c r="F708" s="26"/>
      <c r="G708" s="26"/>
      <c r="H708" s="26"/>
      <c r="I708" s="26"/>
    </row>
    <row r="709" spans="5:9">
      <c r="E709" s="26"/>
      <c r="F709" s="26"/>
      <c r="G709" s="26"/>
      <c r="H709" s="26"/>
      <c r="I709" s="26"/>
    </row>
    <row r="710" spans="5:9">
      <c r="E710" s="26"/>
      <c r="F710" s="26"/>
      <c r="G710" s="26"/>
      <c r="H710" s="26"/>
      <c r="I710" s="26"/>
    </row>
    <row r="711" spans="5:9">
      <c r="E711" s="26"/>
      <c r="F711" s="26"/>
      <c r="G711" s="26"/>
      <c r="H711" s="26"/>
      <c r="I711" s="26"/>
    </row>
    <row r="712" spans="5:9">
      <c r="E712" s="26"/>
      <c r="F712" s="26"/>
      <c r="G712" s="26"/>
      <c r="H712" s="26"/>
      <c r="I712" s="26"/>
    </row>
    <row r="713" spans="5:9">
      <c r="E713" s="26"/>
      <c r="F713" s="26"/>
      <c r="G713" s="26"/>
      <c r="H713" s="26"/>
      <c r="I713" s="26"/>
    </row>
    <row r="714" spans="5:9">
      <c r="E714" s="26"/>
      <c r="F714" s="26"/>
      <c r="G714" s="26"/>
      <c r="H714" s="26"/>
      <c r="I714" s="26"/>
    </row>
    <row r="715" spans="5:9">
      <c r="E715" s="26"/>
      <c r="F715" s="26"/>
      <c r="G715" s="26"/>
      <c r="H715" s="26"/>
      <c r="I715" s="26"/>
    </row>
    <row r="716" spans="5:9">
      <c r="E716" s="26"/>
      <c r="F716" s="26"/>
      <c r="G716" s="26"/>
      <c r="H716" s="26"/>
      <c r="I716" s="26"/>
    </row>
    <row r="717" spans="5:9">
      <c r="E717" s="26"/>
      <c r="F717" s="26"/>
      <c r="G717" s="26"/>
      <c r="H717" s="26"/>
      <c r="I717" s="26"/>
    </row>
    <row r="718" spans="5:9">
      <c r="E718" s="26"/>
      <c r="F718" s="26"/>
      <c r="G718" s="26"/>
      <c r="H718" s="26"/>
      <c r="I718" s="26"/>
    </row>
    <row r="719" spans="5:9">
      <c r="E719" s="26"/>
      <c r="F719" s="26"/>
      <c r="G719" s="26"/>
      <c r="H719" s="26"/>
      <c r="I719" s="26"/>
    </row>
    <row r="720" spans="5:9">
      <c r="E720" s="26"/>
      <c r="F720" s="26"/>
      <c r="G720" s="26"/>
      <c r="H720" s="26"/>
      <c r="I720" s="26"/>
    </row>
    <row r="721" spans="5:9">
      <c r="E721" s="26"/>
      <c r="F721" s="26"/>
      <c r="G721" s="26"/>
      <c r="H721" s="26"/>
      <c r="I721" s="26"/>
    </row>
    <row r="722" spans="5:9">
      <c r="E722" s="26"/>
      <c r="F722" s="26"/>
      <c r="G722" s="26"/>
      <c r="H722" s="26"/>
      <c r="I722" s="26"/>
    </row>
    <row r="723" spans="5:9">
      <c r="E723" s="26"/>
      <c r="F723" s="26"/>
      <c r="G723" s="26"/>
      <c r="H723" s="26"/>
      <c r="I723" s="26"/>
    </row>
    <row r="724" spans="5:9">
      <c r="E724" s="26"/>
      <c r="F724" s="26"/>
      <c r="G724" s="26"/>
      <c r="H724" s="26"/>
      <c r="I724" s="26"/>
    </row>
    <row r="725" spans="5:9">
      <c r="E725" s="26"/>
      <c r="F725" s="26"/>
      <c r="G725" s="26"/>
      <c r="H725" s="26"/>
      <c r="I725" s="26"/>
    </row>
    <row r="726" spans="5:9">
      <c r="E726" s="26"/>
      <c r="F726" s="26"/>
      <c r="G726" s="26"/>
      <c r="H726" s="26"/>
      <c r="I726" s="26"/>
    </row>
    <row r="727" spans="5:9">
      <c r="E727" s="26"/>
      <c r="F727" s="26"/>
      <c r="G727" s="26"/>
      <c r="H727" s="26"/>
      <c r="I727" s="26"/>
    </row>
    <row r="728" spans="5:9">
      <c r="E728" s="26"/>
      <c r="F728" s="26"/>
      <c r="G728" s="26"/>
      <c r="H728" s="26"/>
      <c r="I728" s="26"/>
    </row>
    <row r="729" spans="5:9">
      <c r="E729" s="26"/>
      <c r="F729" s="26"/>
      <c r="G729" s="26"/>
      <c r="H729" s="26"/>
      <c r="I729" s="26"/>
    </row>
    <row r="730" spans="5:9">
      <c r="E730" s="26"/>
      <c r="F730" s="26"/>
      <c r="G730" s="26"/>
      <c r="H730" s="26"/>
      <c r="I730" s="26"/>
    </row>
    <row r="731" spans="5:9">
      <c r="E731" s="26"/>
      <c r="F731" s="26"/>
      <c r="G731" s="26"/>
      <c r="H731" s="26"/>
      <c r="I731" s="26"/>
    </row>
    <row r="732" spans="5:9">
      <c r="E732" s="26"/>
      <c r="F732" s="26"/>
      <c r="G732" s="26"/>
      <c r="H732" s="26"/>
      <c r="I732" s="26"/>
    </row>
    <row r="733" spans="5:9">
      <c r="E733" s="26"/>
      <c r="F733" s="26"/>
      <c r="G733" s="26"/>
      <c r="H733" s="26"/>
      <c r="I733" s="26"/>
    </row>
    <row r="734" spans="5:9">
      <c r="E734" s="26"/>
      <c r="F734" s="26"/>
      <c r="G734" s="26"/>
      <c r="H734" s="26"/>
      <c r="I734" s="26"/>
    </row>
    <row r="735" spans="5:9">
      <c r="E735" s="26"/>
      <c r="F735" s="26"/>
      <c r="G735" s="26"/>
      <c r="H735" s="26"/>
      <c r="I735" s="26"/>
    </row>
  </sheetData>
  <mergeCells count="21">
    <mergeCell ref="B131:I131"/>
    <mergeCell ref="A121:A122"/>
    <mergeCell ref="B121:I121"/>
    <mergeCell ref="B122:I122"/>
    <mergeCell ref="B128:I128"/>
    <mergeCell ref="B129:I129"/>
    <mergeCell ref="B130:I130"/>
    <mergeCell ref="B123:I123"/>
    <mergeCell ref="H113:H114"/>
    <mergeCell ref="I113:I114"/>
    <mergeCell ref="C3:F3"/>
    <mergeCell ref="C4:F4"/>
    <mergeCell ref="A5:I5"/>
    <mergeCell ref="A6:I6"/>
    <mergeCell ref="A7:I7"/>
    <mergeCell ref="B9:D9"/>
    <mergeCell ref="B65:D65"/>
    <mergeCell ref="E65:I65"/>
    <mergeCell ref="B105:G106"/>
    <mergeCell ref="H110:H112"/>
    <mergeCell ref="I110:I112"/>
  </mergeCells>
  <phoneticPr fontId="17" type="noConversion"/>
  <pageMargins left="0.18" right="0.11" top="0.53" bottom="0.4" header="0.3" footer="0.3"/>
  <pageSetup scale="8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7EFC2-E025-45F8-BB97-7409D1FCF075}">
  <sheetPr>
    <tabColor theme="5" tint="-0.249977111117893"/>
  </sheetPr>
  <dimension ref="A1:AI115"/>
  <sheetViews>
    <sheetView topLeftCell="A50" workbookViewId="0">
      <selection activeCell="AE111" sqref="AE111"/>
    </sheetView>
  </sheetViews>
  <sheetFormatPr defaultColWidth="8.7109375" defaultRowHeight="13.9"/>
  <cols>
    <col min="1" max="5" width="2.85546875" style="197" customWidth="1"/>
    <col min="6" max="6" width="32.140625" style="197" customWidth="1"/>
    <col min="7" max="7" width="9.85546875" style="192" bestFit="1" customWidth="1"/>
    <col min="8" max="8" width="2.28515625" style="192" customWidth="1"/>
    <col min="9" max="9" width="9.85546875" style="192" bestFit="1" customWidth="1"/>
    <col min="10" max="10" width="2.28515625" style="192" customWidth="1"/>
    <col min="11" max="11" width="9.85546875" style="192" bestFit="1" customWidth="1"/>
    <col min="12" max="12" width="2.28515625" style="192" customWidth="1"/>
    <col min="13" max="13" width="9.85546875" style="192" bestFit="1" customWidth="1"/>
    <col min="14" max="14" width="2.28515625" style="192" customWidth="1"/>
    <col min="15" max="15" width="9.85546875" style="192" bestFit="1" customWidth="1"/>
    <col min="16" max="16" width="2.28515625" style="192" customWidth="1"/>
    <col min="17" max="17" width="9.85546875" style="192" bestFit="1" customWidth="1"/>
    <col min="18" max="18" width="2.28515625" style="192" customWidth="1"/>
    <col min="19" max="19" width="9.85546875" style="192" bestFit="1" customWidth="1"/>
    <col min="20" max="20" width="2.28515625" style="192" customWidth="1"/>
    <col min="21" max="21" width="9.85546875" style="192" bestFit="1" customWidth="1"/>
    <col min="22" max="22" width="2.28515625" style="192" customWidth="1"/>
    <col min="23" max="23" width="9.85546875" style="192" bestFit="1" customWidth="1"/>
    <col min="24" max="24" width="2.28515625" style="192" customWidth="1"/>
    <col min="25" max="25" width="9.85546875" style="192" bestFit="1" customWidth="1"/>
    <col min="26" max="26" width="2.28515625" style="192" customWidth="1"/>
    <col min="27" max="27" width="9.5703125" style="192" bestFit="1" customWidth="1"/>
    <col min="28" max="28" width="2.28515625" style="192" customWidth="1"/>
    <col min="29" max="29" width="9.85546875" style="192" bestFit="1" customWidth="1"/>
    <col min="30" max="30" width="2.28515625" style="192" customWidth="1"/>
    <col min="31" max="31" width="11.42578125" style="192" bestFit="1" customWidth="1"/>
    <col min="32" max="32" width="8.7109375" style="192"/>
    <col min="33" max="33" width="14.28515625" style="192" bestFit="1" customWidth="1"/>
    <col min="34" max="34" width="9" style="192" bestFit="1" customWidth="1"/>
    <col min="35" max="16384" width="8.7109375" style="192"/>
  </cols>
  <sheetData>
    <row r="1" spans="1:33" s="188" customFormat="1" ht="14.45" thickBot="1">
      <c r="A1" s="185"/>
      <c r="B1" s="185"/>
      <c r="C1" s="185"/>
      <c r="D1" s="185"/>
      <c r="E1" s="185"/>
      <c r="F1" s="185"/>
      <c r="G1" s="186" t="s">
        <v>139</v>
      </c>
      <c r="H1" s="187"/>
      <c r="I1" s="186" t="s">
        <v>140</v>
      </c>
      <c r="J1" s="187"/>
      <c r="K1" s="186" t="s">
        <v>141</v>
      </c>
      <c r="L1" s="187"/>
      <c r="M1" s="186" t="s">
        <v>142</v>
      </c>
      <c r="N1" s="187"/>
      <c r="O1" s="186" t="s">
        <v>143</v>
      </c>
      <c r="P1" s="187"/>
      <c r="Q1" s="186" t="s">
        <v>144</v>
      </c>
      <c r="R1" s="187"/>
      <c r="S1" s="186" t="s">
        <v>145</v>
      </c>
      <c r="T1" s="187"/>
      <c r="U1" s="186" t="s">
        <v>146</v>
      </c>
      <c r="V1" s="187"/>
      <c r="W1" s="186" t="s">
        <v>147</v>
      </c>
      <c r="X1" s="187"/>
      <c r="Y1" s="186" t="s">
        <v>148</v>
      </c>
      <c r="Z1" s="187"/>
      <c r="AA1" s="186" t="s">
        <v>149</v>
      </c>
      <c r="AB1" s="187"/>
      <c r="AC1" s="186" t="s">
        <v>150</v>
      </c>
      <c r="AD1" s="187"/>
      <c r="AE1" s="186" t="s">
        <v>151</v>
      </c>
    </row>
    <row r="2" spans="1:33" ht="14.45" thickTop="1">
      <c r="A2" s="189"/>
      <c r="B2" s="189" t="s">
        <v>152</v>
      </c>
      <c r="C2" s="189"/>
      <c r="D2" s="189"/>
      <c r="E2" s="189"/>
      <c r="F2" s="189"/>
      <c r="G2" s="190"/>
      <c r="H2" s="191"/>
      <c r="I2" s="190"/>
      <c r="J2" s="191"/>
      <c r="K2" s="190"/>
      <c r="L2" s="191"/>
      <c r="M2" s="190"/>
      <c r="N2" s="191"/>
      <c r="O2" s="190"/>
      <c r="P2" s="191"/>
      <c r="Q2" s="190"/>
      <c r="R2" s="191"/>
      <c r="S2" s="190"/>
      <c r="T2" s="191"/>
      <c r="U2" s="190"/>
      <c r="V2" s="191"/>
      <c r="W2" s="190"/>
      <c r="X2" s="191"/>
      <c r="Y2" s="190"/>
      <c r="Z2" s="191"/>
      <c r="AA2" s="190"/>
      <c r="AB2" s="191"/>
      <c r="AC2" s="190"/>
      <c r="AD2" s="191"/>
      <c r="AE2" s="190"/>
    </row>
    <row r="3" spans="1:33">
      <c r="A3" s="189"/>
      <c r="B3" s="189"/>
      <c r="C3" s="189"/>
      <c r="D3" s="189" t="s">
        <v>153</v>
      </c>
      <c r="E3" s="189"/>
      <c r="F3" s="189"/>
      <c r="G3" s="190"/>
      <c r="H3" s="191"/>
      <c r="I3" s="190"/>
      <c r="J3" s="191"/>
      <c r="K3" s="190"/>
      <c r="L3" s="191"/>
      <c r="M3" s="190"/>
      <c r="N3" s="191"/>
      <c r="O3" s="190"/>
      <c r="P3" s="191"/>
      <c r="Q3" s="190"/>
      <c r="R3" s="191"/>
      <c r="S3" s="190"/>
      <c r="T3" s="191"/>
      <c r="U3" s="190"/>
      <c r="V3" s="191"/>
      <c r="W3" s="190"/>
      <c r="X3" s="191"/>
      <c r="Y3" s="190"/>
      <c r="Z3" s="191"/>
      <c r="AA3" s="190"/>
      <c r="AB3" s="191"/>
      <c r="AC3" s="190"/>
      <c r="AD3" s="191"/>
      <c r="AE3" s="190"/>
    </row>
    <row r="4" spans="1:33">
      <c r="A4" s="189"/>
      <c r="B4" s="189"/>
      <c r="C4" s="189"/>
      <c r="D4" s="189"/>
      <c r="E4" s="189" t="s">
        <v>154</v>
      </c>
      <c r="F4" s="189"/>
      <c r="G4" s="190"/>
      <c r="H4" s="191"/>
      <c r="I4" s="190"/>
      <c r="J4" s="191"/>
      <c r="K4" s="190"/>
      <c r="L4" s="191"/>
      <c r="M4" s="190"/>
      <c r="N4" s="191"/>
      <c r="O4" s="190"/>
      <c r="P4" s="191"/>
      <c r="Q4" s="190"/>
      <c r="R4" s="191"/>
      <c r="S4" s="190"/>
      <c r="T4" s="191"/>
      <c r="U4" s="190"/>
      <c r="V4" s="191"/>
      <c r="W4" s="190"/>
      <c r="X4" s="191"/>
      <c r="Y4" s="190"/>
      <c r="Z4" s="191"/>
      <c r="AA4" s="190"/>
      <c r="AB4" s="191"/>
      <c r="AC4" s="190"/>
      <c r="AD4" s="191"/>
      <c r="AE4" s="190"/>
    </row>
    <row r="5" spans="1:33">
      <c r="A5" s="189"/>
      <c r="B5" s="189"/>
      <c r="C5" s="189"/>
      <c r="D5" s="189"/>
      <c r="E5" s="189"/>
      <c r="F5" s="189" t="s">
        <v>155</v>
      </c>
      <c r="G5" s="190">
        <v>7520.89</v>
      </c>
      <c r="H5" s="191"/>
      <c r="I5" s="190">
        <v>7945.07</v>
      </c>
      <c r="J5" s="191"/>
      <c r="K5" s="190">
        <v>8002.4</v>
      </c>
      <c r="L5" s="191"/>
      <c r="M5" s="190">
        <v>8734.31</v>
      </c>
      <c r="N5" s="191"/>
      <c r="O5" s="190">
        <v>8575.86</v>
      </c>
      <c r="P5" s="191"/>
      <c r="Q5" s="190">
        <v>8773.52</v>
      </c>
      <c r="R5" s="191"/>
      <c r="S5" s="190">
        <v>8889.15</v>
      </c>
      <c r="T5" s="191"/>
      <c r="U5" s="190">
        <v>9066.36</v>
      </c>
      <c r="V5" s="191"/>
      <c r="W5" s="190">
        <v>8438.44</v>
      </c>
      <c r="X5" s="191"/>
      <c r="Y5" s="190">
        <v>8438.44</v>
      </c>
      <c r="Z5" s="191"/>
      <c r="AA5" s="190">
        <v>8438.44</v>
      </c>
      <c r="AB5" s="191"/>
      <c r="AC5" s="190">
        <v>8438.44</v>
      </c>
      <c r="AD5" s="191"/>
      <c r="AE5" s="190">
        <f>ROUND(SUM(G5:AC5),5)</f>
        <v>101261.32</v>
      </c>
      <c r="AG5" s="192">
        <f>+AE5/8</f>
        <v>12657.665000000001</v>
      </c>
    </row>
    <row r="6" spans="1:33" ht="14.45" thickBot="1">
      <c r="A6" s="189"/>
      <c r="B6" s="189"/>
      <c r="C6" s="189"/>
      <c r="D6" s="189"/>
      <c r="E6" s="189"/>
      <c r="F6" s="189" t="s">
        <v>156</v>
      </c>
      <c r="G6" s="193">
        <v>5000</v>
      </c>
      <c r="H6" s="191"/>
      <c r="I6" s="193">
        <v>5000</v>
      </c>
      <c r="J6" s="191"/>
      <c r="K6" s="193">
        <v>5000</v>
      </c>
      <c r="L6" s="191"/>
      <c r="M6" s="193">
        <v>5000</v>
      </c>
      <c r="N6" s="191"/>
      <c r="O6" s="193">
        <v>5000</v>
      </c>
      <c r="P6" s="191"/>
      <c r="Q6" s="193">
        <v>5000</v>
      </c>
      <c r="R6" s="191"/>
      <c r="S6" s="193">
        <v>5000</v>
      </c>
      <c r="T6" s="191"/>
      <c r="U6" s="193">
        <v>5000</v>
      </c>
      <c r="V6" s="191"/>
      <c r="W6" s="193">
        <v>5000</v>
      </c>
      <c r="X6" s="191"/>
      <c r="Y6" s="193">
        <v>5000</v>
      </c>
      <c r="Z6" s="191"/>
      <c r="AA6" s="193">
        <v>5000</v>
      </c>
      <c r="AB6" s="191"/>
      <c r="AC6" s="193">
        <v>5000</v>
      </c>
      <c r="AD6" s="191"/>
      <c r="AE6" s="193">
        <f>ROUND(SUM(G6:AC6),5)</f>
        <v>60000</v>
      </c>
    </row>
    <row r="7" spans="1:33">
      <c r="A7" s="189"/>
      <c r="B7" s="189"/>
      <c r="C7" s="189"/>
      <c r="D7" s="189"/>
      <c r="E7" s="189" t="s">
        <v>157</v>
      </c>
      <c r="F7" s="189"/>
      <c r="G7" s="190">
        <f>ROUND(SUM(G4:G6),5)</f>
        <v>12520.89</v>
      </c>
      <c r="H7" s="191"/>
      <c r="I7" s="190">
        <f>ROUND(SUM(I4:I6),5)</f>
        <v>12945.07</v>
      </c>
      <c r="J7" s="191"/>
      <c r="K7" s="190">
        <f>ROUND(SUM(K4:K6),5)</f>
        <v>13002.4</v>
      </c>
      <c r="L7" s="191"/>
      <c r="M7" s="190">
        <f>ROUND(SUM(M4:M6),5)</f>
        <v>13734.31</v>
      </c>
      <c r="N7" s="191"/>
      <c r="O7" s="190">
        <f>ROUND(SUM(O4:O6),5)</f>
        <v>13575.86</v>
      </c>
      <c r="P7" s="191"/>
      <c r="Q7" s="190">
        <f>ROUND(SUM(Q4:Q6),5)</f>
        <v>13773.52</v>
      </c>
      <c r="R7" s="191"/>
      <c r="S7" s="190">
        <f>ROUND(SUM(S4:S6),5)</f>
        <v>13889.15</v>
      </c>
      <c r="T7" s="191"/>
      <c r="U7" s="190">
        <f>ROUND(SUM(U4:U6),5)</f>
        <v>14066.36</v>
      </c>
      <c r="V7" s="191"/>
      <c r="W7" s="190">
        <f>ROUND(SUM(W4:W6),5)</f>
        <v>13438.44</v>
      </c>
      <c r="X7" s="191"/>
      <c r="Y7" s="190">
        <f>ROUND(SUM(Y4:Y6),5)</f>
        <v>13438.44</v>
      </c>
      <c r="Z7" s="191"/>
      <c r="AA7" s="190">
        <f>ROUND(SUM(AA4:AA6),5)</f>
        <v>13438.44</v>
      </c>
      <c r="AB7" s="191"/>
      <c r="AC7" s="190">
        <f>ROUND(SUM(AC4:AC6),5)</f>
        <v>13438.44</v>
      </c>
      <c r="AD7" s="191"/>
      <c r="AE7" s="190">
        <f>ROUND(SUM(G7:AC7),5)</f>
        <v>161261.32</v>
      </c>
    </row>
    <row r="8" spans="1:33">
      <c r="A8" s="189"/>
      <c r="B8" s="189"/>
      <c r="C8" s="189"/>
      <c r="D8" s="189"/>
      <c r="E8" s="189" t="s">
        <v>158</v>
      </c>
      <c r="F8" s="189"/>
      <c r="G8" s="190">
        <v>0</v>
      </c>
      <c r="H8" s="191"/>
      <c r="I8" s="190">
        <v>0</v>
      </c>
      <c r="J8" s="191"/>
      <c r="K8" s="190">
        <v>0</v>
      </c>
      <c r="L8" s="191"/>
      <c r="M8" s="190">
        <v>0</v>
      </c>
      <c r="N8" s="191"/>
      <c r="O8" s="190">
        <v>635.79999999999995</v>
      </c>
      <c r="P8" s="191"/>
      <c r="Q8" s="190">
        <v>0</v>
      </c>
      <c r="R8" s="191"/>
      <c r="S8" s="190">
        <v>0</v>
      </c>
      <c r="T8" s="191"/>
      <c r="U8" s="190">
        <v>0</v>
      </c>
      <c r="V8" s="191"/>
      <c r="W8" s="190">
        <v>0</v>
      </c>
      <c r="X8" s="191"/>
      <c r="Y8" s="190">
        <v>0</v>
      </c>
      <c r="Z8" s="191"/>
      <c r="AA8" s="190">
        <v>0</v>
      </c>
      <c r="AB8" s="191"/>
      <c r="AC8" s="190">
        <v>0</v>
      </c>
      <c r="AD8" s="191"/>
      <c r="AE8" s="190">
        <f>ROUND(SUM(G8:AC8),5)</f>
        <v>635.79999999999995</v>
      </c>
    </row>
    <row r="9" spans="1:33">
      <c r="A9" s="189"/>
      <c r="B9" s="189"/>
      <c r="C9" s="189"/>
      <c r="D9" s="189"/>
      <c r="E9" s="189" t="s">
        <v>159</v>
      </c>
      <c r="F9" s="189"/>
      <c r="G9" s="190">
        <v>0</v>
      </c>
      <c r="H9" s="191"/>
      <c r="I9" s="190">
        <v>1070</v>
      </c>
      <c r="J9" s="191"/>
      <c r="K9" s="190">
        <v>0</v>
      </c>
      <c r="L9" s="191"/>
      <c r="M9" s="190">
        <v>1855.49</v>
      </c>
      <c r="N9" s="191"/>
      <c r="O9" s="190">
        <v>0</v>
      </c>
      <c r="P9" s="191"/>
      <c r="Q9" s="190">
        <v>1000</v>
      </c>
      <c r="R9" s="191"/>
      <c r="S9" s="190">
        <v>0</v>
      </c>
      <c r="T9" s="191"/>
      <c r="U9" s="190">
        <v>0</v>
      </c>
      <c r="V9" s="191"/>
      <c r="W9" s="190">
        <v>0</v>
      </c>
      <c r="X9" s="191"/>
      <c r="Y9" s="190">
        <v>0</v>
      </c>
      <c r="Z9" s="191"/>
      <c r="AA9" s="190">
        <v>0</v>
      </c>
      <c r="AB9" s="191"/>
      <c r="AC9" s="190">
        <v>0</v>
      </c>
      <c r="AD9" s="191"/>
      <c r="AE9" s="190">
        <f>ROUND(SUM(G9:AC9),5)</f>
        <v>3925.49</v>
      </c>
    </row>
    <row r="10" spans="1:33">
      <c r="A10" s="189"/>
      <c r="B10" s="189"/>
      <c r="C10" s="189"/>
      <c r="D10" s="189"/>
      <c r="E10" s="189" t="s">
        <v>160</v>
      </c>
      <c r="F10" s="189"/>
      <c r="G10" s="190"/>
      <c r="H10" s="191"/>
      <c r="I10" s="190"/>
      <c r="J10" s="191"/>
      <c r="K10" s="190"/>
      <c r="L10" s="191"/>
      <c r="M10" s="190"/>
      <c r="N10" s="191"/>
      <c r="O10" s="190"/>
      <c r="P10" s="191"/>
      <c r="Q10" s="190"/>
      <c r="R10" s="191"/>
      <c r="S10" s="190"/>
      <c r="T10" s="191"/>
      <c r="U10" s="190"/>
      <c r="V10" s="191"/>
      <c r="W10" s="190"/>
      <c r="X10" s="191"/>
      <c r="Y10" s="190"/>
      <c r="Z10" s="191"/>
      <c r="AA10" s="190"/>
      <c r="AB10" s="191"/>
      <c r="AC10" s="190"/>
      <c r="AD10" s="191"/>
      <c r="AE10" s="190"/>
    </row>
    <row r="11" spans="1:33">
      <c r="A11" s="189"/>
      <c r="B11" s="189"/>
      <c r="C11" s="189"/>
      <c r="D11" s="189"/>
      <c r="E11" s="189"/>
      <c r="F11" s="189" t="s">
        <v>161</v>
      </c>
      <c r="G11" s="190">
        <v>132492.92000000001</v>
      </c>
      <c r="H11" s="191"/>
      <c r="I11" s="190">
        <v>133849.34</v>
      </c>
      <c r="J11" s="191"/>
      <c r="K11" s="190">
        <v>130587.36</v>
      </c>
      <c r="L11" s="191"/>
      <c r="M11" s="190">
        <v>110517.02</v>
      </c>
      <c r="N11" s="191"/>
      <c r="O11" s="190">
        <v>119002.59</v>
      </c>
      <c r="P11" s="191"/>
      <c r="Q11" s="190">
        <v>113600.13</v>
      </c>
      <c r="R11" s="191"/>
      <c r="S11" s="190">
        <v>109926.78</v>
      </c>
      <c r="T11" s="191"/>
      <c r="U11" s="190">
        <v>105428.94</v>
      </c>
      <c r="V11" s="191"/>
      <c r="W11" s="190">
        <v>91875.4</v>
      </c>
      <c r="X11" s="191"/>
      <c r="Y11" s="190">
        <f>274432/3</f>
        <v>91477.333333333328</v>
      </c>
      <c r="Z11" s="191"/>
      <c r="AA11" s="190">
        <f>274432/3</f>
        <v>91477.333333333328</v>
      </c>
      <c r="AB11" s="191"/>
      <c r="AC11" s="190">
        <f>274432/3</f>
        <v>91477.333333333328</v>
      </c>
      <c r="AD11" s="191"/>
      <c r="AE11" s="190">
        <f>ROUND(SUM(G11:AC11),5)</f>
        <v>1321712.48</v>
      </c>
      <c r="AG11" s="192">
        <f>2029890.55-123261.85-343373.97-5069.6-183848.17-52602.66</f>
        <v>1321734.3</v>
      </c>
    </row>
    <row r="12" spans="1:33">
      <c r="A12" s="189"/>
      <c r="B12" s="189"/>
      <c r="C12" s="189"/>
      <c r="D12" s="189"/>
      <c r="E12" s="189"/>
      <c r="F12" s="189" t="s">
        <v>162</v>
      </c>
      <c r="G12" s="190">
        <v>0</v>
      </c>
      <c r="H12" s="191"/>
      <c r="I12" s="190">
        <v>0</v>
      </c>
      <c r="J12" s="191"/>
      <c r="K12" s="190">
        <v>0</v>
      </c>
      <c r="L12" s="191"/>
      <c r="M12" s="190">
        <v>0</v>
      </c>
      <c r="N12" s="191"/>
      <c r="O12" s="190">
        <v>0</v>
      </c>
      <c r="P12" s="191"/>
      <c r="Q12" s="190">
        <v>4458.1000000000004</v>
      </c>
      <c r="R12" s="191"/>
      <c r="S12" s="190">
        <v>0</v>
      </c>
      <c r="T12" s="191"/>
      <c r="U12" s="190">
        <v>0</v>
      </c>
      <c r="V12" s="191"/>
      <c r="W12" s="190">
        <v>0</v>
      </c>
      <c r="X12" s="191"/>
      <c r="Y12" s="190">
        <v>0</v>
      </c>
      <c r="Z12" s="191"/>
      <c r="AA12" s="190">
        <v>0</v>
      </c>
      <c r="AB12" s="191"/>
      <c r="AC12" s="190">
        <v>4458.1000000000004</v>
      </c>
      <c r="AD12" s="191"/>
      <c r="AE12" s="190">
        <f>ROUND(SUM(G12:AC12),5)</f>
        <v>8916.2000000000007</v>
      </c>
    </row>
    <row r="13" spans="1:33" ht="14.45" thickBot="1">
      <c r="A13" s="189"/>
      <c r="B13" s="189"/>
      <c r="C13" s="189"/>
      <c r="D13" s="189"/>
      <c r="E13" s="189"/>
      <c r="F13" s="189" t="s">
        <v>163</v>
      </c>
      <c r="G13" s="193">
        <v>7512.83</v>
      </c>
      <c r="H13" s="191"/>
      <c r="I13" s="193">
        <v>23070.12</v>
      </c>
      <c r="J13" s="191"/>
      <c r="K13" s="193">
        <v>15291.47</v>
      </c>
      <c r="L13" s="191"/>
      <c r="M13" s="193">
        <v>9498.2900000000009</v>
      </c>
      <c r="N13" s="191"/>
      <c r="O13" s="193">
        <v>9025.27</v>
      </c>
      <c r="P13" s="191"/>
      <c r="Q13" s="193">
        <v>9798.39</v>
      </c>
      <c r="R13" s="191"/>
      <c r="S13" s="193">
        <v>9645.2900000000009</v>
      </c>
      <c r="T13" s="191"/>
      <c r="U13" s="193">
        <v>8951.26</v>
      </c>
      <c r="V13" s="191"/>
      <c r="W13" s="193">
        <v>7617.23</v>
      </c>
      <c r="X13" s="191"/>
      <c r="Y13" s="193">
        <f>22851.7/3</f>
        <v>7617.2333333333336</v>
      </c>
      <c r="Z13" s="191"/>
      <c r="AA13" s="193">
        <v>7617.23</v>
      </c>
      <c r="AB13" s="191"/>
      <c r="AC13" s="193">
        <v>7617.23</v>
      </c>
      <c r="AD13" s="191"/>
      <c r="AE13" s="193">
        <f>ROUND(SUM(G13:AC13),5)</f>
        <v>123261.84333</v>
      </c>
    </row>
    <row r="14" spans="1:33">
      <c r="A14" s="189"/>
      <c r="B14" s="189"/>
      <c r="C14" s="189"/>
      <c r="D14" s="189"/>
      <c r="E14" s="189" t="s">
        <v>164</v>
      </c>
      <c r="F14" s="189"/>
      <c r="G14" s="190">
        <f>ROUND(SUM(G10:G13),5)</f>
        <v>140005.75</v>
      </c>
      <c r="H14" s="191"/>
      <c r="I14" s="190">
        <f>ROUND(SUM(I10:I13),5)</f>
        <v>156919.46</v>
      </c>
      <c r="J14" s="191"/>
      <c r="K14" s="190">
        <f>ROUND(SUM(K10:K13),5)</f>
        <v>145878.82999999999</v>
      </c>
      <c r="L14" s="191"/>
      <c r="M14" s="190">
        <f>ROUND(SUM(M10:M13),5)</f>
        <v>120015.31</v>
      </c>
      <c r="N14" s="191"/>
      <c r="O14" s="190">
        <f>ROUND(SUM(O10:O13),5)</f>
        <v>128027.86</v>
      </c>
      <c r="P14" s="191"/>
      <c r="Q14" s="190">
        <f>ROUND(SUM(Q10:Q13),5)</f>
        <v>127856.62</v>
      </c>
      <c r="R14" s="191"/>
      <c r="S14" s="190">
        <f>ROUND(SUM(S10:S13),5)</f>
        <v>119572.07</v>
      </c>
      <c r="T14" s="191"/>
      <c r="U14" s="190">
        <f>ROUND(SUM(U10:U13),5)</f>
        <v>114380.2</v>
      </c>
      <c r="V14" s="191"/>
      <c r="W14" s="190">
        <f>ROUND(SUM(W10:W13),5)</f>
        <v>99492.63</v>
      </c>
      <c r="X14" s="191"/>
      <c r="Y14" s="190">
        <f>ROUND(SUM(Y10:Y13),5)</f>
        <v>99094.56667</v>
      </c>
      <c r="Z14" s="191"/>
      <c r="AA14" s="190">
        <f>ROUND(SUM(AA10:AA13),5)</f>
        <v>99094.563330000004</v>
      </c>
      <c r="AB14" s="191"/>
      <c r="AC14" s="190">
        <f>ROUND(SUM(AC10:AC13),5)</f>
        <v>103552.66333</v>
      </c>
      <c r="AD14" s="191"/>
      <c r="AE14" s="190">
        <f>ROUND(SUM(G14:AC14),5)</f>
        <v>1453890.52333</v>
      </c>
    </row>
    <row r="15" spans="1:33">
      <c r="A15" s="189"/>
      <c r="B15" s="189"/>
      <c r="C15" s="189"/>
      <c r="D15" s="189"/>
      <c r="E15" s="189" t="s">
        <v>165</v>
      </c>
      <c r="F15" s="189"/>
      <c r="G15" s="190"/>
      <c r="H15" s="191"/>
      <c r="I15" s="190"/>
      <c r="J15" s="191"/>
      <c r="K15" s="190"/>
      <c r="L15" s="191"/>
      <c r="M15" s="190"/>
      <c r="N15" s="191"/>
      <c r="O15" s="190"/>
      <c r="P15" s="191"/>
      <c r="Q15" s="190"/>
      <c r="R15" s="191"/>
      <c r="S15" s="190"/>
      <c r="T15" s="191"/>
      <c r="U15" s="190"/>
      <c r="V15" s="191"/>
      <c r="W15" s="190"/>
      <c r="X15" s="191"/>
      <c r="Y15" s="190"/>
      <c r="Z15" s="191"/>
      <c r="AA15" s="190"/>
      <c r="AB15" s="191"/>
      <c r="AC15" s="190"/>
      <c r="AD15" s="191"/>
      <c r="AE15" s="190"/>
    </row>
    <row r="16" spans="1:33">
      <c r="A16" s="189"/>
      <c r="B16" s="189"/>
      <c r="C16" s="189"/>
      <c r="D16" s="189"/>
      <c r="E16" s="189"/>
      <c r="F16" s="189" t="s">
        <v>166</v>
      </c>
      <c r="G16" s="190">
        <v>20576.34</v>
      </c>
      <c r="H16" s="191"/>
      <c r="I16" s="190">
        <v>23405.14</v>
      </c>
      <c r="J16" s="191"/>
      <c r="K16" s="190">
        <v>21981.040000000001</v>
      </c>
      <c r="L16" s="191"/>
      <c r="M16" s="190">
        <v>19088.46</v>
      </c>
      <c r="N16" s="191"/>
      <c r="O16" s="190">
        <v>15798.35</v>
      </c>
      <c r="P16" s="191"/>
      <c r="Q16" s="190">
        <v>15188.55</v>
      </c>
      <c r="R16" s="191"/>
      <c r="S16" s="190">
        <v>14127.52</v>
      </c>
      <c r="T16" s="191"/>
      <c r="U16" s="190">
        <v>12590.36</v>
      </c>
      <c r="V16" s="191"/>
      <c r="W16" s="190">
        <v>10273.1</v>
      </c>
      <c r="X16" s="191"/>
      <c r="Y16" s="190">
        <f>30819.34/3</f>
        <v>10273.113333333333</v>
      </c>
      <c r="Z16" s="191"/>
      <c r="AA16" s="190">
        <f>30819.34/3</f>
        <v>10273.113333333333</v>
      </c>
      <c r="AB16" s="191"/>
      <c r="AC16" s="190">
        <f>30819.34/3</f>
        <v>10273.113333333333</v>
      </c>
      <c r="AD16" s="191"/>
      <c r="AE16" s="190">
        <f t="shared" ref="AE16:AE21" si="0">ROUND(SUM(G16:AC16),5)</f>
        <v>183848.2</v>
      </c>
      <c r="AG16" s="192">
        <v>183848.17</v>
      </c>
    </row>
    <row r="17" spans="1:31">
      <c r="A17" s="189"/>
      <c r="B17" s="189"/>
      <c r="C17" s="189"/>
      <c r="D17" s="189"/>
      <c r="E17" s="189"/>
      <c r="F17" s="189" t="s">
        <v>167</v>
      </c>
      <c r="G17" s="190">
        <v>27124.75</v>
      </c>
      <c r="H17" s="191"/>
      <c r="I17" s="190">
        <v>32151.56</v>
      </c>
      <c r="J17" s="191"/>
      <c r="K17" s="190">
        <v>29638.16</v>
      </c>
      <c r="L17" s="191"/>
      <c r="M17" s="190">
        <v>75908.929999999993</v>
      </c>
      <c r="N17" s="191"/>
      <c r="O17" s="190">
        <v>26876.04</v>
      </c>
      <c r="P17" s="191"/>
      <c r="Q17" s="190">
        <v>26239.4</v>
      </c>
      <c r="R17" s="191"/>
      <c r="S17" s="190">
        <v>24361.9</v>
      </c>
      <c r="T17" s="191"/>
      <c r="U17" s="190">
        <v>23056.95</v>
      </c>
      <c r="V17" s="191"/>
      <c r="W17" s="190">
        <v>19504.07</v>
      </c>
      <c r="X17" s="191"/>
      <c r="Y17" s="190">
        <f>58512.21/3</f>
        <v>19504.07</v>
      </c>
      <c r="Z17" s="191"/>
      <c r="AA17" s="190">
        <v>19504.07</v>
      </c>
      <c r="AB17" s="191"/>
      <c r="AC17" s="190">
        <v>19504.07</v>
      </c>
      <c r="AD17" s="191"/>
      <c r="AE17" s="190">
        <f t="shared" si="0"/>
        <v>343373.97</v>
      </c>
    </row>
    <row r="18" spans="1:31">
      <c r="A18" s="189"/>
      <c r="B18" s="189"/>
      <c r="C18" s="189"/>
      <c r="D18" s="189"/>
      <c r="E18" s="189"/>
      <c r="F18" s="189" t="s">
        <v>168</v>
      </c>
      <c r="G18" s="190">
        <v>2061.14</v>
      </c>
      <c r="H18" s="191"/>
      <c r="I18" s="190">
        <v>2310.88</v>
      </c>
      <c r="J18" s="191"/>
      <c r="K18" s="190">
        <v>2186.0100000000002</v>
      </c>
      <c r="L18" s="191"/>
      <c r="M18" s="190">
        <v>591.04</v>
      </c>
      <c r="N18" s="191"/>
      <c r="O18" s="190">
        <v>849.58</v>
      </c>
      <c r="P18" s="191"/>
      <c r="Q18" s="190">
        <v>-233.56</v>
      </c>
      <c r="R18" s="191"/>
      <c r="S18" s="190">
        <v>-233.56</v>
      </c>
      <c r="T18" s="191"/>
      <c r="U18" s="190">
        <v>-377.38</v>
      </c>
      <c r="V18" s="191"/>
      <c r="W18" s="190">
        <v>-521.14</v>
      </c>
      <c r="X18" s="191"/>
      <c r="Y18" s="190">
        <f>-1563.41/3</f>
        <v>-521.13666666666666</v>
      </c>
      <c r="Z18" s="191"/>
      <c r="AA18" s="190">
        <v>-521.14</v>
      </c>
      <c r="AB18" s="191"/>
      <c r="AC18" s="190">
        <v>-521.14</v>
      </c>
      <c r="AD18" s="191"/>
      <c r="AE18" s="190">
        <f t="shared" si="0"/>
        <v>5069.5933299999997</v>
      </c>
    </row>
    <row r="19" spans="1:31">
      <c r="A19" s="189"/>
      <c r="B19" s="189"/>
      <c r="C19" s="189"/>
      <c r="D19" s="189"/>
      <c r="E19" s="189"/>
      <c r="F19" s="189" t="s">
        <v>169</v>
      </c>
      <c r="G19" s="190">
        <v>5355.98</v>
      </c>
      <c r="H19" s="191"/>
      <c r="I19" s="190">
        <v>5551.75</v>
      </c>
      <c r="J19" s="191"/>
      <c r="K19" s="190">
        <v>5453.86</v>
      </c>
      <c r="L19" s="191"/>
      <c r="M19" s="190">
        <v>4354.34</v>
      </c>
      <c r="N19" s="191"/>
      <c r="O19" s="190">
        <v>4699.37</v>
      </c>
      <c r="P19" s="191"/>
      <c r="Q19" s="190">
        <v>4497.32</v>
      </c>
      <c r="R19" s="191"/>
      <c r="S19" s="190">
        <v>4428.6099999999997</v>
      </c>
      <c r="T19" s="191"/>
      <c r="U19" s="190">
        <v>4110.7700000000004</v>
      </c>
      <c r="V19" s="191"/>
      <c r="W19" s="190">
        <v>3537.67</v>
      </c>
      <c r="X19" s="191"/>
      <c r="Y19" s="190">
        <f>10612.99/3</f>
        <v>3537.6633333333334</v>
      </c>
      <c r="Z19" s="191"/>
      <c r="AA19" s="190">
        <v>3537.66</v>
      </c>
      <c r="AB19" s="191"/>
      <c r="AC19" s="190">
        <v>3537.66</v>
      </c>
      <c r="AD19" s="191"/>
      <c r="AE19" s="190">
        <f t="shared" si="0"/>
        <v>52602.653330000001</v>
      </c>
    </row>
    <row r="20" spans="1:31" ht="14.45" thickBot="1">
      <c r="A20" s="189"/>
      <c r="B20" s="189"/>
      <c r="C20" s="189"/>
      <c r="D20" s="189"/>
      <c r="E20" s="189"/>
      <c r="F20" s="189" t="s">
        <v>170</v>
      </c>
      <c r="G20" s="193">
        <v>46.1</v>
      </c>
      <c r="H20" s="191"/>
      <c r="I20" s="193">
        <v>0</v>
      </c>
      <c r="J20" s="191"/>
      <c r="K20" s="193">
        <v>0</v>
      </c>
      <c r="L20" s="191"/>
      <c r="M20" s="193">
        <v>0</v>
      </c>
      <c r="N20" s="191"/>
      <c r="O20" s="193">
        <v>0</v>
      </c>
      <c r="P20" s="191"/>
      <c r="Q20" s="193">
        <v>0</v>
      </c>
      <c r="R20" s="191"/>
      <c r="S20" s="193">
        <v>0</v>
      </c>
      <c r="T20" s="191"/>
      <c r="U20" s="193">
        <v>0</v>
      </c>
      <c r="V20" s="191"/>
      <c r="W20" s="193">
        <v>0</v>
      </c>
      <c r="X20" s="191"/>
      <c r="Y20" s="193">
        <v>0</v>
      </c>
      <c r="Z20" s="191"/>
      <c r="AA20" s="193">
        <v>0</v>
      </c>
      <c r="AB20" s="191"/>
      <c r="AC20" s="193">
        <v>0</v>
      </c>
      <c r="AD20" s="191"/>
      <c r="AE20" s="193">
        <f t="shared" si="0"/>
        <v>46.1</v>
      </c>
    </row>
    <row r="21" spans="1:31">
      <c r="A21" s="189"/>
      <c r="B21" s="189"/>
      <c r="C21" s="189"/>
      <c r="D21" s="189"/>
      <c r="E21" s="189" t="s">
        <v>171</v>
      </c>
      <c r="F21" s="189"/>
      <c r="G21" s="190">
        <f>ROUND(SUM(G15:G20),5)</f>
        <v>55164.31</v>
      </c>
      <c r="H21" s="191"/>
      <c r="I21" s="190">
        <f>ROUND(SUM(I15:I20),5)</f>
        <v>63419.33</v>
      </c>
      <c r="J21" s="191"/>
      <c r="K21" s="190">
        <f>ROUND(SUM(K15:K20),5)</f>
        <v>59259.07</v>
      </c>
      <c r="L21" s="191"/>
      <c r="M21" s="190">
        <f>ROUND(SUM(M15:M20),5)</f>
        <v>99942.77</v>
      </c>
      <c r="N21" s="191"/>
      <c r="O21" s="190">
        <f>ROUND(SUM(O15:O20),5)</f>
        <v>48223.34</v>
      </c>
      <c r="P21" s="191"/>
      <c r="Q21" s="190">
        <f>ROUND(SUM(Q15:Q20),5)</f>
        <v>45691.71</v>
      </c>
      <c r="R21" s="191"/>
      <c r="S21" s="190">
        <f>ROUND(SUM(S15:S20),5)</f>
        <v>42684.47</v>
      </c>
      <c r="T21" s="191"/>
      <c r="U21" s="190">
        <f>ROUND(SUM(U15:U20),5)</f>
        <v>39380.699999999997</v>
      </c>
      <c r="V21" s="191"/>
      <c r="W21" s="190">
        <f>ROUND(SUM(W15:W20),5)</f>
        <v>32793.699999999997</v>
      </c>
      <c r="X21" s="191"/>
      <c r="Y21" s="190">
        <f>ROUND(SUM(Y15:Y20),5)</f>
        <v>32793.71</v>
      </c>
      <c r="Z21" s="191"/>
      <c r="AA21" s="190">
        <f>ROUND(SUM(AA15:AA20),5)</f>
        <v>32793.703329999997</v>
      </c>
      <c r="AB21" s="191"/>
      <c r="AC21" s="190">
        <f>ROUND(SUM(AC15:AC20),5)</f>
        <v>32793.703329999997</v>
      </c>
      <c r="AD21" s="191"/>
      <c r="AE21" s="190">
        <f t="shared" si="0"/>
        <v>584940.51665999996</v>
      </c>
    </row>
    <row r="22" spans="1:31">
      <c r="A22" s="189"/>
      <c r="B22" s="189"/>
      <c r="C22" s="189"/>
      <c r="D22" s="189"/>
      <c r="E22" s="189" t="s">
        <v>172</v>
      </c>
      <c r="F22" s="189"/>
      <c r="G22" s="190"/>
      <c r="H22" s="191"/>
      <c r="I22" s="190"/>
      <c r="J22" s="191"/>
      <c r="K22" s="190"/>
      <c r="L22" s="191"/>
      <c r="M22" s="190"/>
      <c r="N22" s="191"/>
      <c r="O22" s="190"/>
      <c r="P22" s="191"/>
      <c r="Q22" s="190"/>
      <c r="R22" s="191"/>
      <c r="S22" s="190"/>
      <c r="T22" s="191"/>
      <c r="U22" s="190"/>
      <c r="V22" s="191"/>
      <c r="W22" s="190"/>
      <c r="X22" s="191"/>
      <c r="Y22" s="190"/>
      <c r="Z22" s="191"/>
      <c r="AA22" s="190"/>
      <c r="AB22" s="191"/>
      <c r="AC22" s="190"/>
      <c r="AD22" s="191"/>
      <c r="AE22" s="190"/>
    </row>
    <row r="23" spans="1:31" ht="14.45" thickBot="1">
      <c r="A23" s="189"/>
      <c r="B23" s="189"/>
      <c r="C23" s="189"/>
      <c r="D23" s="189"/>
      <c r="E23" s="189"/>
      <c r="F23" s="189" t="s">
        <v>173</v>
      </c>
      <c r="G23" s="193">
        <v>3973.24</v>
      </c>
      <c r="H23" s="191"/>
      <c r="I23" s="193">
        <v>0</v>
      </c>
      <c r="J23" s="191"/>
      <c r="K23" s="193">
        <v>0</v>
      </c>
      <c r="L23" s="191"/>
      <c r="M23" s="193">
        <v>78208.960000000006</v>
      </c>
      <c r="N23" s="191"/>
      <c r="O23" s="193">
        <v>48073.4</v>
      </c>
      <c r="P23" s="191"/>
      <c r="Q23" s="193">
        <v>45189.98</v>
      </c>
      <c r="R23" s="191"/>
      <c r="S23" s="193">
        <v>74350.289999999994</v>
      </c>
      <c r="T23" s="191"/>
      <c r="U23" s="193">
        <v>43482.400000000001</v>
      </c>
      <c r="V23" s="191"/>
      <c r="W23" s="193">
        <v>74695.05</v>
      </c>
      <c r="X23" s="191"/>
      <c r="Y23" s="193">
        <v>43482.400000000001</v>
      </c>
      <c r="Z23" s="191"/>
      <c r="AA23" s="193">
        <v>43482.400000000001</v>
      </c>
      <c r="AB23" s="191"/>
      <c r="AC23" s="193">
        <f>43482.4+325000</f>
        <v>368482.4</v>
      </c>
      <c r="AD23" s="191"/>
      <c r="AE23" s="193">
        <f>ROUND(SUM(G23:AC23),5)</f>
        <v>823420.52</v>
      </c>
    </row>
    <row r="24" spans="1:31">
      <c r="A24" s="189"/>
      <c r="B24" s="189"/>
      <c r="C24" s="189"/>
      <c r="D24" s="189"/>
      <c r="E24" s="189" t="s">
        <v>174</v>
      </c>
      <c r="F24" s="189"/>
      <c r="G24" s="190">
        <f>ROUND(SUM(G22:G23),5)</f>
        <v>3973.24</v>
      </c>
      <c r="H24" s="191"/>
      <c r="I24" s="190">
        <f>ROUND(SUM(I22:I23),5)</f>
        <v>0</v>
      </c>
      <c r="J24" s="191"/>
      <c r="K24" s="190">
        <f>ROUND(SUM(K22:K23),5)</f>
        <v>0</v>
      </c>
      <c r="L24" s="191"/>
      <c r="M24" s="190">
        <f>ROUND(SUM(M22:M23),5)</f>
        <v>78208.960000000006</v>
      </c>
      <c r="N24" s="191"/>
      <c r="O24" s="190">
        <f>ROUND(SUM(O22:O23),5)</f>
        <v>48073.4</v>
      </c>
      <c r="P24" s="191"/>
      <c r="Q24" s="190">
        <f>ROUND(SUM(Q22:Q23),5)</f>
        <v>45189.98</v>
      </c>
      <c r="R24" s="191"/>
      <c r="S24" s="190">
        <f>ROUND(SUM(S22:S23),5)</f>
        <v>74350.289999999994</v>
      </c>
      <c r="T24" s="191"/>
      <c r="U24" s="190">
        <f>ROUND(SUM(U22:U23),5)</f>
        <v>43482.400000000001</v>
      </c>
      <c r="V24" s="191"/>
      <c r="W24" s="190">
        <f>ROUND(SUM(W22:W23),5)</f>
        <v>74695.05</v>
      </c>
      <c r="X24" s="191"/>
      <c r="Y24" s="190">
        <f>ROUND(SUM(Y22:Y23),5)</f>
        <v>43482.400000000001</v>
      </c>
      <c r="Z24" s="191"/>
      <c r="AA24" s="190">
        <f>ROUND(SUM(AA22:AA23),5)</f>
        <v>43482.400000000001</v>
      </c>
      <c r="AB24" s="191"/>
      <c r="AC24" s="190">
        <f>ROUND(SUM(AC22:AC23),5)</f>
        <v>368482.4</v>
      </c>
      <c r="AD24" s="191"/>
      <c r="AE24" s="190">
        <f>ROUND(SUM(G24:AC24),5)</f>
        <v>823420.52</v>
      </c>
    </row>
    <row r="25" spans="1:31" ht="14.45" thickBot="1">
      <c r="A25" s="189"/>
      <c r="B25" s="189"/>
      <c r="C25" s="189"/>
      <c r="D25" s="189"/>
      <c r="E25" s="189" t="s">
        <v>175</v>
      </c>
      <c r="F25" s="189"/>
      <c r="G25" s="190">
        <v>0</v>
      </c>
      <c r="H25" s="191"/>
      <c r="I25" s="190">
        <v>0</v>
      </c>
      <c r="J25" s="191"/>
      <c r="K25" s="190">
        <v>4455.2299999999996</v>
      </c>
      <c r="L25" s="191"/>
      <c r="M25" s="190">
        <v>0</v>
      </c>
      <c r="N25" s="191"/>
      <c r="O25" s="190">
        <v>0</v>
      </c>
      <c r="P25" s="191"/>
      <c r="Q25" s="190">
        <v>0</v>
      </c>
      <c r="R25" s="191"/>
      <c r="S25" s="190">
        <v>1128</v>
      </c>
      <c r="T25" s="191"/>
      <c r="U25" s="190">
        <v>0</v>
      </c>
      <c r="V25" s="191"/>
      <c r="W25" s="190">
        <v>0</v>
      </c>
      <c r="X25" s="191"/>
      <c r="Y25" s="190">
        <v>0</v>
      </c>
      <c r="Z25" s="191"/>
      <c r="AA25" s="190">
        <v>0</v>
      </c>
      <c r="AB25" s="191"/>
      <c r="AC25" s="190">
        <v>0</v>
      </c>
      <c r="AD25" s="191"/>
      <c r="AE25" s="190">
        <f>ROUND(SUM(G25:AC25),5)</f>
        <v>5583.23</v>
      </c>
    </row>
    <row r="26" spans="1:31" ht="14.45" thickBot="1">
      <c r="A26" s="189"/>
      <c r="B26" s="189"/>
      <c r="C26" s="189"/>
      <c r="D26" s="189" t="s">
        <v>176</v>
      </c>
      <c r="E26" s="189"/>
      <c r="F26" s="189"/>
      <c r="G26" s="194">
        <f>ROUND(G3+SUM(G7:G9)+G14+G21+SUM(G24:G25),5)</f>
        <v>211664.19</v>
      </c>
      <c r="H26" s="191"/>
      <c r="I26" s="194">
        <f>ROUND(I3+SUM(I7:I9)+I14+I21+SUM(I24:I25),5)</f>
        <v>234353.86</v>
      </c>
      <c r="J26" s="191"/>
      <c r="K26" s="194">
        <f>ROUND(K3+SUM(K7:K9)+K14+K21+SUM(K24:K25),5)</f>
        <v>222595.53</v>
      </c>
      <c r="L26" s="191"/>
      <c r="M26" s="194">
        <f>ROUND(M3+SUM(M7:M9)+M14+M21+SUM(M24:M25),5)</f>
        <v>313756.84000000003</v>
      </c>
      <c r="N26" s="191"/>
      <c r="O26" s="194">
        <f>ROUND(O3+SUM(O7:O9)+O14+O21+SUM(O24:O25),5)</f>
        <v>238536.26</v>
      </c>
      <c r="P26" s="191"/>
      <c r="Q26" s="194">
        <f>ROUND(Q3+SUM(Q7:Q9)+Q14+Q21+SUM(Q24:Q25),5)</f>
        <v>233511.83</v>
      </c>
      <c r="R26" s="191"/>
      <c r="S26" s="194">
        <f>ROUND(S3+SUM(S7:S9)+S14+S21+SUM(S24:S25),5)</f>
        <v>251623.98</v>
      </c>
      <c r="T26" s="191"/>
      <c r="U26" s="194">
        <f>ROUND(U3+SUM(U7:U9)+U14+U21+SUM(U24:U25),5)</f>
        <v>211309.66</v>
      </c>
      <c r="V26" s="191"/>
      <c r="W26" s="194">
        <f>ROUND(W3+SUM(W7:W9)+W14+W21+SUM(W24:W25),5)</f>
        <v>220419.82</v>
      </c>
      <c r="X26" s="191"/>
      <c r="Y26" s="194">
        <f>ROUND(Y3+SUM(Y7:Y9)+Y14+Y21+SUM(Y24:Y25),5)</f>
        <v>188809.11666999999</v>
      </c>
      <c r="Z26" s="191"/>
      <c r="AA26" s="194">
        <f>ROUND(AA3+SUM(AA7:AA9)+AA14+AA21+SUM(AA24:AA25),5)</f>
        <v>188809.10665999999</v>
      </c>
      <c r="AB26" s="191"/>
      <c r="AC26" s="194">
        <f>ROUND(AC3+SUM(AC7:AC9)+AC14+AC21+SUM(AC24:AC25),5)</f>
        <v>518267.20666000003</v>
      </c>
      <c r="AD26" s="191"/>
      <c r="AE26" s="194">
        <f>ROUND(SUM(G26:AC26),5)</f>
        <v>3033657.3999899998</v>
      </c>
    </row>
    <row r="27" spans="1:31">
      <c r="A27" s="189"/>
      <c r="B27" s="189"/>
      <c r="C27" s="189" t="s">
        <v>177</v>
      </c>
      <c r="D27" s="189"/>
      <c r="E27" s="189"/>
      <c r="F27" s="189"/>
      <c r="G27" s="190">
        <f>G26</f>
        <v>211664.19</v>
      </c>
      <c r="H27" s="191"/>
      <c r="I27" s="190">
        <f>I26</f>
        <v>234353.86</v>
      </c>
      <c r="J27" s="191"/>
      <c r="K27" s="190">
        <f>K26</f>
        <v>222595.53</v>
      </c>
      <c r="L27" s="191"/>
      <c r="M27" s="190">
        <f>M26</f>
        <v>313756.84000000003</v>
      </c>
      <c r="N27" s="191"/>
      <c r="O27" s="190">
        <f>O26</f>
        <v>238536.26</v>
      </c>
      <c r="P27" s="191"/>
      <c r="Q27" s="190">
        <f>Q26</f>
        <v>233511.83</v>
      </c>
      <c r="R27" s="191"/>
      <c r="S27" s="190">
        <f>S26</f>
        <v>251623.98</v>
      </c>
      <c r="T27" s="191"/>
      <c r="U27" s="190">
        <f>U26</f>
        <v>211309.66</v>
      </c>
      <c r="V27" s="191"/>
      <c r="W27" s="190">
        <f>W26</f>
        <v>220419.82</v>
      </c>
      <c r="X27" s="191"/>
      <c r="Y27" s="190">
        <f>Y26</f>
        <v>188809.11666999999</v>
      </c>
      <c r="Z27" s="191"/>
      <c r="AA27" s="190">
        <f>AA26</f>
        <v>188809.10665999999</v>
      </c>
      <c r="AB27" s="191"/>
      <c r="AC27" s="190">
        <f>AC26</f>
        <v>518267.20666000003</v>
      </c>
      <c r="AD27" s="191"/>
      <c r="AE27" s="190">
        <f>ROUND(SUM(G27:AC27),5)</f>
        <v>3033657.3999899998</v>
      </c>
    </row>
    <row r="28" spans="1:31">
      <c r="A28" s="189"/>
      <c r="B28" s="189"/>
      <c r="C28" s="189"/>
      <c r="D28" s="189" t="s">
        <v>178</v>
      </c>
      <c r="E28" s="189"/>
      <c r="F28" s="189"/>
      <c r="G28" s="190"/>
      <c r="H28" s="191"/>
      <c r="I28" s="190"/>
      <c r="J28" s="191"/>
      <c r="K28" s="190"/>
      <c r="L28" s="191"/>
      <c r="M28" s="190"/>
      <c r="N28" s="191"/>
      <c r="O28" s="190"/>
      <c r="P28" s="191"/>
      <c r="Q28" s="190"/>
      <c r="R28" s="191"/>
      <c r="S28" s="190"/>
      <c r="T28" s="191"/>
      <c r="U28" s="190"/>
      <c r="V28" s="191"/>
      <c r="W28" s="190"/>
      <c r="X28" s="191"/>
      <c r="Y28" s="190"/>
      <c r="Z28" s="191"/>
      <c r="AA28" s="190"/>
      <c r="AB28" s="191"/>
      <c r="AC28" s="190"/>
      <c r="AD28" s="191"/>
      <c r="AE28" s="190"/>
    </row>
    <row r="29" spans="1:31">
      <c r="A29" s="189"/>
      <c r="B29" s="189"/>
      <c r="C29" s="189"/>
      <c r="D29" s="189"/>
      <c r="E29" s="189" t="s">
        <v>179</v>
      </c>
      <c r="F29" s="189"/>
      <c r="G29" s="190"/>
      <c r="H29" s="191"/>
      <c r="I29" s="190"/>
      <c r="J29" s="191"/>
      <c r="K29" s="190"/>
      <c r="L29" s="191"/>
      <c r="M29" s="190"/>
      <c r="N29" s="191"/>
      <c r="O29" s="190"/>
      <c r="P29" s="191"/>
      <c r="Q29" s="190"/>
      <c r="R29" s="191"/>
      <c r="S29" s="190"/>
      <c r="T29" s="191"/>
      <c r="U29" s="190"/>
      <c r="V29" s="191"/>
      <c r="W29" s="190"/>
      <c r="X29" s="191"/>
      <c r="Y29" s="190"/>
      <c r="Z29" s="191"/>
      <c r="AA29" s="190"/>
      <c r="AB29" s="191"/>
      <c r="AC29" s="190"/>
      <c r="AD29" s="191"/>
      <c r="AE29" s="190"/>
    </row>
    <row r="30" spans="1:31">
      <c r="A30" s="189"/>
      <c r="B30" s="189"/>
      <c r="C30" s="189"/>
      <c r="D30" s="189"/>
      <c r="E30" s="189"/>
      <c r="F30" s="189" t="s">
        <v>180</v>
      </c>
      <c r="G30" s="190">
        <v>7761.8</v>
      </c>
      <c r="H30" s="191"/>
      <c r="I30" s="190">
        <v>10636.8</v>
      </c>
      <c r="J30" s="191"/>
      <c r="K30" s="190">
        <v>15428.48</v>
      </c>
      <c r="L30" s="191"/>
      <c r="M30" s="190">
        <v>12140.98</v>
      </c>
      <c r="N30" s="191"/>
      <c r="O30" s="190">
        <v>11870.14</v>
      </c>
      <c r="P30" s="191"/>
      <c r="Q30" s="190">
        <v>15623.92</v>
      </c>
      <c r="R30" s="191"/>
      <c r="S30" s="190">
        <v>14911.8</v>
      </c>
      <c r="T30" s="191"/>
      <c r="U30" s="190">
        <v>14911.8</v>
      </c>
      <c r="V30" s="191"/>
      <c r="W30" s="190">
        <v>14911.8</v>
      </c>
      <c r="X30" s="191"/>
      <c r="Y30" s="190">
        <v>14911.8</v>
      </c>
      <c r="Z30" s="191"/>
      <c r="AA30" s="190">
        <v>14911.8</v>
      </c>
      <c r="AB30" s="191"/>
      <c r="AC30" s="190">
        <v>14911.8</v>
      </c>
      <c r="AD30" s="191"/>
      <c r="AE30" s="190">
        <f t="shared" ref="AE30:AE39" si="1">ROUND(SUM(G30:AC30),5)</f>
        <v>162932.92000000001</v>
      </c>
    </row>
    <row r="31" spans="1:31">
      <c r="A31" s="189"/>
      <c r="B31" s="189"/>
      <c r="C31" s="189"/>
      <c r="D31" s="189"/>
      <c r="E31" s="189"/>
      <c r="F31" s="189" t="s">
        <v>181</v>
      </c>
      <c r="G31" s="190">
        <v>4155.2</v>
      </c>
      <c r="H31" s="191"/>
      <c r="I31" s="190">
        <v>4155.2</v>
      </c>
      <c r="J31" s="191"/>
      <c r="K31" s="190">
        <v>188.87</v>
      </c>
      <c r="L31" s="191"/>
      <c r="M31" s="190">
        <v>0</v>
      </c>
      <c r="N31" s="191"/>
      <c r="O31" s="190">
        <v>4513.88</v>
      </c>
      <c r="P31" s="191"/>
      <c r="Q31" s="190">
        <v>4166.66</v>
      </c>
      <c r="R31" s="191"/>
      <c r="S31" s="190">
        <v>4166.66</v>
      </c>
      <c r="T31" s="191"/>
      <c r="U31" s="190">
        <v>4166.66</v>
      </c>
      <c r="V31" s="191"/>
      <c r="W31" s="190">
        <v>4166.66</v>
      </c>
      <c r="X31" s="191"/>
      <c r="Y31" s="190">
        <v>4166.66</v>
      </c>
      <c r="Z31" s="191"/>
      <c r="AA31" s="190">
        <v>4166.66</v>
      </c>
      <c r="AB31" s="191"/>
      <c r="AC31" s="190">
        <v>4166.66</v>
      </c>
      <c r="AD31" s="191"/>
      <c r="AE31" s="190">
        <f t="shared" si="1"/>
        <v>42179.77</v>
      </c>
    </row>
    <row r="32" spans="1:31">
      <c r="A32" s="189"/>
      <c r="B32" s="189"/>
      <c r="C32" s="189"/>
      <c r="D32" s="189"/>
      <c r="E32" s="189"/>
      <c r="F32" s="189" t="s">
        <v>182</v>
      </c>
      <c r="G32" s="190">
        <v>4291.67</v>
      </c>
      <c r="H32" s="191"/>
      <c r="I32" s="190">
        <v>4291.67</v>
      </c>
      <c r="J32" s="191"/>
      <c r="K32" s="190">
        <v>4291.66</v>
      </c>
      <c r="L32" s="191"/>
      <c r="M32" s="190">
        <v>9187.49</v>
      </c>
      <c r="N32" s="191"/>
      <c r="O32" s="190">
        <v>3916.66</v>
      </c>
      <c r="P32" s="191"/>
      <c r="Q32" s="190">
        <v>3916.66</v>
      </c>
      <c r="R32" s="191"/>
      <c r="S32" s="190">
        <v>3916.66</v>
      </c>
      <c r="T32" s="191"/>
      <c r="U32" s="190">
        <v>3916.66</v>
      </c>
      <c r="V32" s="191"/>
      <c r="W32" s="190">
        <v>3916.66</v>
      </c>
      <c r="X32" s="191"/>
      <c r="Y32" s="190">
        <v>3916.66</v>
      </c>
      <c r="Z32" s="191"/>
      <c r="AA32" s="190">
        <v>3916.66</v>
      </c>
      <c r="AB32" s="191"/>
      <c r="AC32" s="190">
        <v>3916.66</v>
      </c>
      <c r="AD32" s="191"/>
      <c r="AE32" s="190">
        <f t="shared" si="1"/>
        <v>53395.77</v>
      </c>
    </row>
    <row r="33" spans="1:31">
      <c r="A33" s="189"/>
      <c r="B33" s="189"/>
      <c r="C33" s="189"/>
      <c r="D33" s="189"/>
      <c r="E33" s="189"/>
      <c r="F33" s="189" t="s">
        <v>183</v>
      </c>
      <c r="G33" s="190">
        <v>0</v>
      </c>
      <c r="H33" s="191"/>
      <c r="I33" s="190">
        <v>0</v>
      </c>
      <c r="J33" s="191"/>
      <c r="K33" s="190">
        <v>0</v>
      </c>
      <c r="L33" s="191"/>
      <c r="M33" s="190">
        <v>2108.33</v>
      </c>
      <c r="N33" s="191"/>
      <c r="O33" s="190">
        <v>0</v>
      </c>
      <c r="P33" s="191"/>
      <c r="Q33" s="190">
        <v>0</v>
      </c>
      <c r="R33" s="191"/>
      <c r="S33" s="190">
        <v>0</v>
      </c>
      <c r="T33" s="191"/>
      <c r="U33" s="190">
        <v>0</v>
      </c>
      <c r="V33" s="191"/>
      <c r="W33" s="190">
        <v>0</v>
      </c>
      <c r="X33" s="191"/>
      <c r="Y33" s="190">
        <v>0</v>
      </c>
      <c r="Z33" s="191"/>
      <c r="AA33" s="190">
        <v>0</v>
      </c>
      <c r="AB33" s="191"/>
      <c r="AC33" s="190">
        <v>0</v>
      </c>
      <c r="AD33" s="191"/>
      <c r="AE33" s="190">
        <f t="shared" si="1"/>
        <v>2108.33</v>
      </c>
    </row>
    <row r="34" spans="1:31">
      <c r="A34" s="189"/>
      <c r="B34" s="189"/>
      <c r="C34" s="189"/>
      <c r="D34" s="189"/>
      <c r="E34" s="189"/>
      <c r="F34" s="189" t="s">
        <v>184</v>
      </c>
      <c r="G34" s="190">
        <v>0</v>
      </c>
      <c r="H34" s="191"/>
      <c r="I34" s="190">
        <v>0</v>
      </c>
      <c r="J34" s="191"/>
      <c r="K34" s="190">
        <v>0</v>
      </c>
      <c r="L34" s="191"/>
      <c r="M34" s="190">
        <v>6000</v>
      </c>
      <c r="N34" s="191"/>
      <c r="O34" s="190">
        <v>0</v>
      </c>
      <c r="P34" s="191"/>
      <c r="Q34" s="190">
        <v>0</v>
      </c>
      <c r="R34" s="191"/>
      <c r="S34" s="190">
        <v>4500</v>
      </c>
      <c r="T34" s="191"/>
      <c r="U34" s="190">
        <v>0</v>
      </c>
      <c r="V34" s="191"/>
      <c r="W34" s="190">
        <v>0</v>
      </c>
      <c r="X34" s="191"/>
      <c r="Y34" s="190">
        <v>0</v>
      </c>
      <c r="Z34" s="191"/>
      <c r="AA34" s="190">
        <v>0</v>
      </c>
      <c r="AB34" s="191"/>
      <c r="AC34" s="190">
        <v>0</v>
      </c>
      <c r="AD34" s="191"/>
      <c r="AE34" s="190">
        <f t="shared" si="1"/>
        <v>10500</v>
      </c>
    </row>
    <row r="35" spans="1:31">
      <c r="A35" s="189"/>
      <c r="B35" s="189"/>
      <c r="C35" s="189"/>
      <c r="D35" s="189"/>
      <c r="E35" s="189"/>
      <c r="F35" s="189" t="s">
        <v>185</v>
      </c>
      <c r="G35" s="190">
        <v>3519.17</v>
      </c>
      <c r="H35" s="191"/>
      <c r="I35" s="190">
        <v>9582.5</v>
      </c>
      <c r="J35" s="191"/>
      <c r="K35" s="190">
        <v>7840</v>
      </c>
      <c r="L35" s="191"/>
      <c r="M35" s="190">
        <v>7840</v>
      </c>
      <c r="N35" s="191"/>
      <c r="O35" s="190">
        <v>4809.7</v>
      </c>
      <c r="P35" s="191"/>
      <c r="Q35" s="190">
        <v>3673.34</v>
      </c>
      <c r="R35" s="191"/>
      <c r="S35" s="190">
        <v>3673.34</v>
      </c>
      <c r="T35" s="191"/>
      <c r="U35" s="190">
        <v>3673.34</v>
      </c>
      <c r="V35" s="191"/>
      <c r="W35" s="190">
        <v>3673.34</v>
      </c>
      <c r="X35" s="191"/>
      <c r="Y35" s="190">
        <v>3673.34</v>
      </c>
      <c r="Z35" s="191"/>
      <c r="AA35" s="190">
        <v>3673.34</v>
      </c>
      <c r="AB35" s="191"/>
      <c r="AC35" s="190">
        <v>3673.34</v>
      </c>
      <c r="AD35" s="191"/>
      <c r="AE35" s="190">
        <f t="shared" si="1"/>
        <v>59304.75</v>
      </c>
    </row>
    <row r="36" spans="1:31">
      <c r="A36" s="189"/>
      <c r="B36" s="189"/>
      <c r="C36" s="189"/>
      <c r="D36" s="189"/>
      <c r="E36" s="189"/>
      <c r="F36" s="189" t="s">
        <v>186</v>
      </c>
      <c r="G36" s="190">
        <v>4806.67</v>
      </c>
      <c r="H36" s="191"/>
      <c r="I36" s="190">
        <v>4806.67</v>
      </c>
      <c r="J36" s="191"/>
      <c r="K36" s="190">
        <v>4806.66</v>
      </c>
      <c r="L36" s="191"/>
      <c r="M36" s="190">
        <v>4806.66</v>
      </c>
      <c r="N36" s="191"/>
      <c r="O36" s="190">
        <v>4806.66</v>
      </c>
      <c r="P36" s="191"/>
      <c r="Q36" s="190">
        <v>4806.66</v>
      </c>
      <c r="R36" s="191"/>
      <c r="S36" s="190">
        <v>4806.66</v>
      </c>
      <c r="T36" s="191"/>
      <c r="U36" s="190">
        <v>4806.66</v>
      </c>
      <c r="V36" s="191"/>
      <c r="W36" s="190">
        <v>4806.66</v>
      </c>
      <c r="X36" s="191"/>
      <c r="Y36" s="190">
        <v>4806.66</v>
      </c>
      <c r="Z36" s="191"/>
      <c r="AA36" s="190">
        <v>4806.66</v>
      </c>
      <c r="AB36" s="191"/>
      <c r="AC36" s="190">
        <v>4806.66</v>
      </c>
      <c r="AD36" s="191"/>
      <c r="AE36" s="190">
        <f t="shared" si="1"/>
        <v>57679.94</v>
      </c>
    </row>
    <row r="37" spans="1:31">
      <c r="A37" s="189"/>
      <c r="B37" s="189"/>
      <c r="C37" s="189"/>
      <c r="D37" s="189"/>
      <c r="E37" s="189"/>
      <c r="F37" s="189" t="s">
        <v>187</v>
      </c>
      <c r="G37" s="190">
        <v>3182.7</v>
      </c>
      <c r="H37" s="191"/>
      <c r="I37" s="190">
        <v>3182.7</v>
      </c>
      <c r="J37" s="191"/>
      <c r="K37" s="190">
        <v>3182.7</v>
      </c>
      <c r="L37" s="191"/>
      <c r="M37" s="190">
        <v>3182.7</v>
      </c>
      <c r="N37" s="191"/>
      <c r="O37" s="190">
        <v>3182.7</v>
      </c>
      <c r="P37" s="191"/>
      <c r="Q37" s="190">
        <v>3182.7</v>
      </c>
      <c r="R37" s="191"/>
      <c r="S37" s="190">
        <v>3182.7</v>
      </c>
      <c r="T37" s="191"/>
      <c r="U37" s="190">
        <v>3182.7</v>
      </c>
      <c r="V37" s="191"/>
      <c r="W37" s="190">
        <v>3182.7</v>
      </c>
      <c r="X37" s="191"/>
      <c r="Y37" s="190">
        <v>3182.7</v>
      </c>
      <c r="Z37" s="191"/>
      <c r="AA37" s="190">
        <v>3182.7</v>
      </c>
      <c r="AB37" s="191"/>
      <c r="AC37" s="190">
        <v>3182.7</v>
      </c>
      <c r="AD37" s="191"/>
      <c r="AE37" s="190">
        <f t="shared" si="1"/>
        <v>38192.400000000001</v>
      </c>
    </row>
    <row r="38" spans="1:31" ht="14.45" thickBot="1">
      <c r="A38" s="189"/>
      <c r="B38" s="189"/>
      <c r="C38" s="189"/>
      <c r="D38" s="189"/>
      <c r="E38" s="189"/>
      <c r="F38" s="189" t="s">
        <v>188</v>
      </c>
      <c r="G38" s="193">
        <v>6250</v>
      </c>
      <c r="H38" s="191"/>
      <c r="I38" s="193">
        <v>12160</v>
      </c>
      <c r="J38" s="191"/>
      <c r="K38" s="193">
        <v>12160</v>
      </c>
      <c r="L38" s="191"/>
      <c r="M38" s="193">
        <v>12160</v>
      </c>
      <c r="N38" s="191"/>
      <c r="O38" s="193">
        <v>12160</v>
      </c>
      <c r="P38" s="191"/>
      <c r="Q38" s="193">
        <v>12160</v>
      </c>
      <c r="R38" s="191"/>
      <c r="S38" s="193">
        <v>12160</v>
      </c>
      <c r="T38" s="191"/>
      <c r="U38" s="193">
        <v>12160</v>
      </c>
      <c r="V38" s="191"/>
      <c r="W38" s="193">
        <v>12160</v>
      </c>
      <c r="X38" s="191"/>
      <c r="Y38" s="193">
        <v>12160</v>
      </c>
      <c r="Z38" s="191"/>
      <c r="AA38" s="193">
        <v>12160</v>
      </c>
      <c r="AB38" s="191"/>
      <c r="AC38" s="193">
        <v>12160</v>
      </c>
      <c r="AD38" s="191"/>
      <c r="AE38" s="193">
        <f t="shared" si="1"/>
        <v>140010</v>
      </c>
    </row>
    <row r="39" spans="1:31">
      <c r="A39" s="189"/>
      <c r="B39" s="189"/>
      <c r="C39" s="189"/>
      <c r="D39" s="189"/>
      <c r="E39" s="189" t="s">
        <v>189</v>
      </c>
      <c r="F39" s="189"/>
      <c r="G39" s="190">
        <f>ROUND(SUM(G29:G38),5)</f>
        <v>33967.21</v>
      </c>
      <c r="H39" s="191"/>
      <c r="I39" s="190">
        <f>ROUND(SUM(I29:I38),5)</f>
        <v>48815.54</v>
      </c>
      <c r="J39" s="191"/>
      <c r="K39" s="190">
        <f>ROUND(SUM(K29:K38),5)</f>
        <v>47898.37</v>
      </c>
      <c r="L39" s="191"/>
      <c r="M39" s="190">
        <f>ROUND(SUM(M29:M38),5)</f>
        <v>57426.16</v>
      </c>
      <c r="N39" s="191"/>
      <c r="O39" s="190">
        <f>ROUND(SUM(O29:O38),5)</f>
        <v>45259.74</v>
      </c>
      <c r="P39" s="191"/>
      <c r="Q39" s="190">
        <f>ROUND(SUM(Q29:Q38),5)</f>
        <v>47529.94</v>
      </c>
      <c r="R39" s="191"/>
      <c r="S39" s="190">
        <f>ROUND(SUM(S29:S38),5)</f>
        <v>51317.82</v>
      </c>
      <c r="T39" s="191"/>
      <c r="U39" s="190">
        <f>ROUND(SUM(U29:U38),5)</f>
        <v>46817.82</v>
      </c>
      <c r="V39" s="191"/>
      <c r="W39" s="190">
        <f>ROUND(SUM(W29:W38),5)</f>
        <v>46817.82</v>
      </c>
      <c r="X39" s="191"/>
      <c r="Y39" s="190">
        <f>ROUND(SUM(Y29:Y38),5)</f>
        <v>46817.82</v>
      </c>
      <c r="Z39" s="191"/>
      <c r="AA39" s="190">
        <f>ROUND(SUM(AA29:AA38),5)</f>
        <v>46817.82</v>
      </c>
      <c r="AB39" s="191"/>
      <c r="AC39" s="190">
        <f>ROUND(SUM(AC29:AC38),5)</f>
        <v>46817.82</v>
      </c>
      <c r="AD39" s="191"/>
      <c r="AE39" s="190">
        <f t="shared" si="1"/>
        <v>566303.88</v>
      </c>
    </row>
    <row r="40" spans="1:31">
      <c r="A40" s="189"/>
      <c r="B40" s="189"/>
      <c r="C40" s="189"/>
      <c r="D40" s="189"/>
      <c r="E40" s="189" t="s">
        <v>190</v>
      </c>
      <c r="F40" s="189"/>
      <c r="G40" s="190"/>
      <c r="H40" s="191"/>
      <c r="I40" s="190"/>
      <c r="J40" s="191"/>
      <c r="K40" s="190"/>
      <c r="L40" s="191"/>
      <c r="M40" s="190"/>
      <c r="N40" s="191"/>
      <c r="O40" s="190"/>
      <c r="P40" s="191"/>
      <c r="Q40" s="190"/>
      <c r="R40" s="191"/>
      <c r="S40" s="190"/>
      <c r="T40" s="191"/>
      <c r="U40" s="190"/>
      <c r="V40" s="191"/>
      <c r="W40" s="190"/>
      <c r="X40" s="191"/>
      <c r="Y40" s="190"/>
      <c r="Z40" s="191"/>
      <c r="AA40" s="190"/>
      <c r="AB40" s="191"/>
      <c r="AC40" s="190"/>
      <c r="AD40" s="191"/>
      <c r="AE40" s="190"/>
    </row>
    <row r="41" spans="1:31">
      <c r="A41" s="189"/>
      <c r="B41" s="189"/>
      <c r="C41" s="189"/>
      <c r="D41" s="189"/>
      <c r="E41" s="189"/>
      <c r="F41" s="189" t="s">
        <v>191</v>
      </c>
      <c r="G41" s="190">
        <v>2543.39</v>
      </c>
      <c r="H41" s="191"/>
      <c r="I41" s="190">
        <v>4287.55</v>
      </c>
      <c r="J41" s="191"/>
      <c r="K41" s="190">
        <v>4403.08</v>
      </c>
      <c r="L41" s="191"/>
      <c r="M41" s="190">
        <v>4601.8100000000004</v>
      </c>
      <c r="N41" s="191"/>
      <c r="O41" s="190">
        <v>5058.7700000000004</v>
      </c>
      <c r="P41" s="191"/>
      <c r="Q41" s="190">
        <v>5535.69</v>
      </c>
      <c r="R41" s="191"/>
      <c r="S41" s="190">
        <v>5436</v>
      </c>
      <c r="T41" s="191"/>
      <c r="U41" s="190">
        <v>5436</v>
      </c>
      <c r="V41" s="191"/>
      <c r="W41" s="190">
        <v>5436</v>
      </c>
      <c r="X41" s="191"/>
      <c r="Y41" s="190">
        <v>5436</v>
      </c>
      <c r="Z41" s="191"/>
      <c r="AA41" s="190">
        <v>5436</v>
      </c>
      <c r="AB41" s="191"/>
      <c r="AC41" s="190">
        <v>5436</v>
      </c>
      <c r="AD41" s="191"/>
      <c r="AE41" s="190">
        <f t="shared" ref="AE41:AE47" si="2">ROUND(SUM(G41:AC41),5)</f>
        <v>59046.29</v>
      </c>
    </row>
    <row r="42" spans="1:31">
      <c r="A42" s="189"/>
      <c r="B42" s="189"/>
      <c r="C42" s="189"/>
      <c r="D42" s="189"/>
      <c r="E42" s="189"/>
      <c r="F42" s="189" t="s">
        <v>192</v>
      </c>
      <c r="G42" s="190">
        <v>2212.02</v>
      </c>
      <c r="H42" s="191"/>
      <c r="I42" s="190">
        <v>3074.37</v>
      </c>
      <c r="J42" s="191"/>
      <c r="K42" s="190">
        <v>2302.6999999999998</v>
      </c>
      <c r="L42" s="191"/>
      <c r="M42" s="190">
        <v>2597.87</v>
      </c>
      <c r="N42" s="191"/>
      <c r="O42" s="190">
        <v>1277.6099999999999</v>
      </c>
      <c r="P42" s="191"/>
      <c r="Q42" s="190">
        <v>1118.52</v>
      </c>
      <c r="R42" s="191"/>
      <c r="S42" s="190">
        <v>1118.52</v>
      </c>
      <c r="T42" s="191"/>
      <c r="U42" s="190">
        <v>1118.52</v>
      </c>
      <c r="V42" s="191"/>
      <c r="W42" s="190">
        <v>1118.52</v>
      </c>
      <c r="X42" s="191"/>
      <c r="Y42" s="190">
        <v>1118.52</v>
      </c>
      <c r="Z42" s="191"/>
      <c r="AA42" s="190">
        <v>1118.52</v>
      </c>
      <c r="AB42" s="191"/>
      <c r="AC42" s="190">
        <v>1118.52</v>
      </c>
      <c r="AD42" s="191"/>
      <c r="AE42" s="190">
        <f t="shared" si="2"/>
        <v>19294.21</v>
      </c>
    </row>
    <row r="43" spans="1:31">
      <c r="A43" s="189"/>
      <c r="B43" s="189"/>
      <c r="C43" s="189"/>
      <c r="D43" s="189"/>
      <c r="E43" s="189"/>
      <c r="F43" s="189" t="s">
        <v>193</v>
      </c>
      <c r="G43" s="190">
        <v>12750.63</v>
      </c>
      <c r="H43" s="191"/>
      <c r="I43" s="190">
        <v>907.09</v>
      </c>
      <c r="J43" s="191"/>
      <c r="K43" s="190">
        <v>9284.84</v>
      </c>
      <c r="L43" s="191"/>
      <c r="M43" s="190">
        <v>8799.2999999999993</v>
      </c>
      <c r="N43" s="191"/>
      <c r="O43" s="190">
        <v>1463.63</v>
      </c>
      <c r="P43" s="191"/>
      <c r="Q43" s="190">
        <v>6930.91</v>
      </c>
      <c r="R43" s="191"/>
      <c r="S43" s="190">
        <v>6793.46</v>
      </c>
      <c r="T43" s="191"/>
      <c r="U43" s="190">
        <v>8551.9599999999991</v>
      </c>
      <c r="V43" s="191"/>
      <c r="W43" s="190">
        <v>7673.96</v>
      </c>
      <c r="X43" s="191"/>
      <c r="Y43" s="190">
        <v>8551.9599999999991</v>
      </c>
      <c r="Z43" s="191"/>
      <c r="AA43" s="190">
        <v>8551.9599999999991</v>
      </c>
      <c r="AB43" s="191"/>
      <c r="AC43" s="190">
        <v>8551.9599999999991</v>
      </c>
      <c r="AD43" s="191"/>
      <c r="AE43" s="190">
        <f t="shared" si="2"/>
        <v>88811.66</v>
      </c>
    </row>
    <row r="44" spans="1:31">
      <c r="A44" s="189"/>
      <c r="B44" s="189"/>
      <c r="C44" s="189"/>
      <c r="D44" s="189"/>
      <c r="E44" s="189"/>
      <c r="F44" s="189" t="s">
        <v>194</v>
      </c>
      <c r="G44" s="190">
        <v>0</v>
      </c>
      <c r="H44" s="191"/>
      <c r="I44" s="190">
        <v>0</v>
      </c>
      <c r="J44" s="191"/>
      <c r="K44" s="190">
        <v>0</v>
      </c>
      <c r="L44" s="191"/>
      <c r="M44" s="190">
        <v>0</v>
      </c>
      <c r="N44" s="191"/>
      <c r="O44" s="190">
        <v>0</v>
      </c>
      <c r="P44" s="191"/>
      <c r="Q44" s="190">
        <v>0</v>
      </c>
      <c r="R44" s="191"/>
      <c r="S44" s="190">
        <v>0</v>
      </c>
      <c r="T44" s="191"/>
      <c r="U44" s="190">
        <v>393.75</v>
      </c>
      <c r="V44" s="191"/>
      <c r="W44" s="190">
        <v>0</v>
      </c>
      <c r="X44" s="191"/>
      <c r="Y44" s="190">
        <v>393.75</v>
      </c>
      <c r="Z44" s="191"/>
      <c r="AA44" s="190">
        <v>393.75</v>
      </c>
      <c r="AB44" s="191"/>
      <c r="AC44" s="190">
        <v>393.75</v>
      </c>
      <c r="AD44" s="191"/>
      <c r="AE44" s="190">
        <f t="shared" si="2"/>
        <v>1575</v>
      </c>
    </row>
    <row r="45" spans="1:31">
      <c r="A45" s="189"/>
      <c r="B45" s="189"/>
      <c r="C45" s="189"/>
      <c r="D45" s="189"/>
      <c r="E45" s="189"/>
      <c r="F45" s="189" t="s">
        <v>195</v>
      </c>
      <c r="G45" s="190">
        <v>0</v>
      </c>
      <c r="H45" s="191"/>
      <c r="I45" s="190">
        <v>599.41999999999996</v>
      </c>
      <c r="J45" s="191"/>
      <c r="K45" s="190">
        <v>0</v>
      </c>
      <c r="L45" s="191"/>
      <c r="M45" s="190">
        <v>602.5</v>
      </c>
      <c r="N45" s="191"/>
      <c r="O45" s="190">
        <v>325.45</v>
      </c>
      <c r="P45" s="191"/>
      <c r="Q45" s="190">
        <v>325.45</v>
      </c>
      <c r="R45" s="191"/>
      <c r="S45" s="190">
        <v>0</v>
      </c>
      <c r="T45" s="191"/>
      <c r="U45" s="190">
        <v>650.9</v>
      </c>
      <c r="V45" s="191"/>
      <c r="W45" s="190">
        <v>0</v>
      </c>
      <c r="X45" s="191"/>
      <c r="Y45" s="190">
        <v>650.9</v>
      </c>
      <c r="Z45" s="191"/>
      <c r="AA45" s="190">
        <v>650.9</v>
      </c>
      <c r="AB45" s="191"/>
      <c r="AC45" s="190">
        <v>650.9</v>
      </c>
      <c r="AD45" s="191"/>
      <c r="AE45" s="190">
        <f t="shared" si="2"/>
        <v>4456.42</v>
      </c>
    </row>
    <row r="46" spans="1:31" ht="14.45" thickBot="1">
      <c r="A46" s="189"/>
      <c r="B46" s="189"/>
      <c r="C46" s="189"/>
      <c r="D46" s="189"/>
      <c r="E46" s="189"/>
      <c r="F46" s="189" t="s">
        <v>196</v>
      </c>
      <c r="G46" s="193">
        <v>168.75</v>
      </c>
      <c r="H46" s="191"/>
      <c r="I46" s="193">
        <v>523.13</v>
      </c>
      <c r="J46" s="191"/>
      <c r="K46" s="193">
        <v>543.69000000000005</v>
      </c>
      <c r="L46" s="191"/>
      <c r="M46" s="193">
        <v>359.61</v>
      </c>
      <c r="N46" s="191"/>
      <c r="O46" s="193">
        <v>340.12</v>
      </c>
      <c r="P46" s="191"/>
      <c r="Q46" s="193">
        <v>326.77999999999997</v>
      </c>
      <c r="R46" s="191"/>
      <c r="S46" s="193">
        <v>1349.1</v>
      </c>
      <c r="T46" s="191"/>
      <c r="U46" s="193">
        <v>1054.55</v>
      </c>
      <c r="V46" s="191"/>
      <c r="W46" s="193">
        <v>269.35000000000002</v>
      </c>
      <c r="X46" s="191"/>
      <c r="Y46" s="193">
        <v>1054.55</v>
      </c>
      <c r="Z46" s="191"/>
      <c r="AA46" s="193">
        <v>1054.55</v>
      </c>
      <c r="AB46" s="191"/>
      <c r="AC46" s="193">
        <v>1054.55</v>
      </c>
      <c r="AD46" s="191"/>
      <c r="AE46" s="193">
        <f t="shared" si="2"/>
        <v>8098.73</v>
      </c>
    </row>
    <row r="47" spans="1:31">
      <c r="A47" s="189"/>
      <c r="B47" s="189"/>
      <c r="C47" s="189"/>
      <c r="D47" s="189"/>
      <c r="E47" s="189" t="s">
        <v>197</v>
      </c>
      <c r="F47" s="189"/>
      <c r="G47" s="190">
        <f>ROUND(SUM(G40:G46),5)</f>
        <v>17674.79</v>
      </c>
      <c r="H47" s="191"/>
      <c r="I47" s="190">
        <f>ROUND(SUM(I40:I46),5)</f>
        <v>9391.56</v>
      </c>
      <c r="J47" s="191"/>
      <c r="K47" s="190">
        <f>ROUND(SUM(K40:K46),5)</f>
        <v>16534.310000000001</v>
      </c>
      <c r="L47" s="191"/>
      <c r="M47" s="190">
        <f>ROUND(SUM(M40:M46),5)</f>
        <v>16961.09</v>
      </c>
      <c r="N47" s="191"/>
      <c r="O47" s="190">
        <f>ROUND(SUM(O40:O46),5)</f>
        <v>8465.58</v>
      </c>
      <c r="P47" s="191"/>
      <c r="Q47" s="190">
        <f>ROUND(SUM(Q40:Q46),5)</f>
        <v>14237.35</v>
      </c>
      <c r="R47" s="191"/>
      <c r="S47" s="190">
        <f>ROUND(SUM(S40:S46),5)</f>
        <v>14697.08</v>
      </c>
      <c r="T47" s="191"/>
      <c r="U47" s="190">
        <f>ROUND(SUM(U40:U46),5)</f>
        <v>17205.68</v>
      </c>
      <c r="V47" s="191"/>
      <c r="W47" s="190">
        <f>ROUND(SUM(W40:W46),5)</f>
        <v>14497.83</v>
      </c>
      <c r="X47" s="191"/>
      <c r="Y47" s="190">
        <f>ROUND(SUM(Y40:Y46),5)</f>
        <v>17205.68</v>
      </c>
      <c r="Z47" s="191"/>
      <c r="AA47" s="190">
        <f>ROUND(SUM(AA40:AA46),5)</f>
        <v>17205.68</v>
      </c>
      <c r="AB47" s="191"/>
      <c r="AC47" s="190">
        <f>ROUND(SUM(AC40:AC46),5)</f>
        <v>17205.68</v>
      </c>
      <c r="AD47" s="191"/>
      <c r="AE47" s="190">
        <f t="shared" si="2"/>
        <v>181282.31</v>
      </c>
    </row>
    <row r="48" spans="1:31">
      <c r="A48" s="189"/>
      <c r="B48" s="189"/>
      <c r="C48" s="189"/>
      <c r="D48" s="189"/>
      <c r="E48" s="189" t="s">
        <v>198</v>
      </c>
      <c r="F48" s="189"/>
      <c r="G48" s="190"/>
      <c r="H48" s="191"/>
      <c r="I48" s="190"/>
      <c r="J48" s="191"/>
      <c r="K48" s="190"/>
      <c r="L48" s="191"/>
      <c r="M48" s="190"/>
      <c r="N48" s="191"/>
      <c r="O48" s="190"/>
      <c r="P48" s="191"/>
      <c r="Q48" s="190"/>
      <c r="R48" s="191"/>
      <c r="S48" s="190"/>
      <c r="T48" s="191"/>
      <c r="U48" s="190"/>
      <c r="V48" s="191"/>
      <c r="W48" s="190"/>
      <c r="X48" s="191"/>
      <c r="Y48" s="190"/>
      <c r="Z48" s="191"/>
      <c r="AA48" s="190"/>
      <c r="AB48" s="191"/>
      <c r="AC48" s="190"/>
      <c r="AD48" s="191"/>
      <c r="AE48" s="190"/>
    </row>
    <row r="49" spans="1:35">
      <c r="A49" s="189"/>
      <c r="B49" s="189"/>
      <c r="C49" s="189"/>
      <c r="D49" s="189"/>
      <c r="E49" s="189"/>
      <c r="F49" s="189" t="s">
        <v>199</v>
      </c>
      <c r="G49" s="190">
        <v>0</v>
      </c>
      <c r="H49" s="191"/>
      <c r="I49" s="190">
        <v>1599</v>
      </c>
      <c r="J49" s="191"/>
      <c r="K49" s="190">
        <v>249</v>
      </c>
      <c r="L49" s="191"/>
      <c r="M49" s="190">
        <v>0</v>
      </c>
      <c r="N49" s="191"/>
      <c r="O49" s="190">
        <v>747</v>
      </c>
      <c r="P49" s="191"/>
      <c r="Q49" s="190">
        <v>0</v>
      </c>
      <c r="R49" s="191"/>
      <c r="S49" s="190">
        <v>999</v>
      </c>
      <c r="T49" s="191"/>
      <c r="U49" s="190">
        <v>0</v>
      </c>
      <c r="V49" s="191"/>
      <c r="W49" s="190">
        <v>0</v>
      </c>
      <c r="X49" s="191"/>
      <c r="Y49" s="190">
        <v>0</v>
      </c>
      <c r="Z49" s="191"/>
      <c r="AA49" s="190">
        <v>0</v>
      </c>
      <c r="AB49" s="191"/>
      <c r="AC49" s="190">
        <v>0</v>
      </c>
      <c r="AD49" s="191"/>
      <c r="AE49" s="190">
        <f t="shared" ref="AE49:AE82" si="3">ROUND(SUM(G49:AC49),5)</f>
        <v>3594</v>
      </c>
    </row>
    <row r="50" spans="1:35">
      <c r="A50" s="189"/>
      <c r="B50" s="189"/>
      <c r="C50" s="189"/>
      <c r="D50" s="189"/>
      <c r="E50" s="189"/>
      <c r="F50" s="189" t="s">
        <v>200</v>
      </c>
      <c r="G50" s="190">
        <v>0</v>
      </c>
      <c r="H50" s="191"/>
      <c r="I50" s="190">
        <v>2195.4299999999998</v>
      </c>
      <c r="J50" s="191"/>
      <c r="K50" s="190">
        <v>0</v>
      </c>
      <c r="L50" s="191"/>
      <c r="M50" s="190">
        <v>266.3</v>
      </c>
      <c r="N50" s="191"/>
      <c r="O50" s="190">
        <v>55.92</v>
      </c>
      <c r="P50" s="191"/>
      <c r="Q50" s="190">
        <v>698.31</v>
      </c>
      <c r="R50" s="191"/>
      <c r="S50" s="190">
        <v>1050</v>
      </c>
      <c r="T50" s="191"/>
      <c r="U50" s="190">
        <v>3848.63</v>
      </c>
      <c r="V50" s="191"/>
      <c r="W50" s="190">
        <v>581.65</v>
      </c>
      <c r="X50" s="191"/>
      <c r="Y50" s="190">
        <v>0</v>
      </c>
      <c r="Z50" s="191"/>
      <c r="AA50" s="190">
        <v>0</v>
      </c>
      <c r="AB50" s="191"/>
      <c r="AC50" s="190">
        <v>0</v>
      </c>
      <c r="AD50" s="191"/>
      <c r="AE50" s="190">
        <f t="shared" si="3"/>
        <v>8696.24</v>
      </c>
    </row>
    <row r="51" spans="1:35">
      <c r="A51" s="189"/>
      <c r="B51" s="189"/>
      <c r="C51" s="189"/>
      <c r="D51" s="189"/>
      <c r="E51" s="189"/>
      <c r="F51" s="189" t="s">
        <v>201</v>
      </c>
      <c r="G51" s="190">
        <v>0</v>
      </c>
      <c r="H51" s="191"/>
      <c r="I51" s="190">
        <v>0</v>
      </c>
      <c r="J51" s="191"/>
      <c r="K51" s="190">
        <v>2226.56</v>
      </c>
      <c r="L51" s="191"/>
      <c r="M51" s="190">
        <v>3737.44</v>
      </c>
      <c r="N51" s="191"/>
      <c r="O51" s="190">
        <v>4612.16</v>
      </c>
      <c r="P51" s="191"/>
      <c r="Q51" s="190">
        <v>3618.16</v>
      </c>
      <c r="R51" s="191"/>
      <c r="S51" s="190">
        <v>7792.96</v>
      </c>
      <c r="T51" s="191"/>
      <c r="U51" s="190">
        <v>0</v>
      </c>
      <c r="V51" s="191"/>
      <c r="W51" s="190">
        <v>3657.92</v>
      </c>
      <c r="X51" s="191"/>
      <c r="Y51" s="190">
        <v>3657.92</v>
      </c>
      <c r="Z51" s="191"/>
      <c r="AA51" s="190">
        <v>3657.92</v>
      </c>
      <c r="AB51" s="191"/>
      <c r="AC51" s="190">
        <v>3657.92</v>
      </c>
      <c r="AD51" s="191"/>
      <c r="AE51" s="190">
        <f t="shared" si="3"/>
        <v>36618.959999999999</v>
      </c>
    </row>
    <row r="52" spans="1:35">
      <c r="A52" s="189"/>
      <c r="B52" s="189"/>
      <c r="C52" s="189"/>
      <c r="D52" s="189"/>
      <c r="E52" s="189"/>
      <c r="F52" s="189" t="s">
        <v>202</v>
      </c>
      <c r="G52" s="190">
        <v>29189.3</v>
      </c>
      <c r="H52" s="191"/>
      <c r="I52" s="190">
        <v>33050.82</v>
      </c>
      <c r="J52" s="191"/>
      <c r="K52" s="190">
        <v>30770.69</v>
      </c>
      <c r="L52" s="191"/>
      <c r="M52" s="190">
        <v>32993.71</v>
      </c>
      <c r="N52" s="191"/>
      <c r="O52" s="190">
        <v>26437.68</v>
      </c>
      <c r="P52" s="191"/>
      <c r="Q52" s="190">
        <v>25363.53</v>
      </c>
      <c r="R52" s="191"/>
      <c r="S52" s="190">
        <v>24338.48</v>
      </c>
      <c r="T52" s="191"/>
      <c r="U52" s="190">
        <v>23064.14</v>
      </c>
      <c r="V52" s="191"/>
      <c r="W52" s="190">
        <v>19842.95</v>
      </c>
      <c r="X52" s="191"/>
      <c r="Y52" s="190">
        <f>59432.3/3</f>
        <v>19810.766666666666</v>
      </c>
      <c r="Z52" s="191"/>
      <c r="AA52" s="190">
        <v>19810.77</v>
      </c>
      <c r="AB52" s="191"/>
      <c r="AC52" s="190">
        <v>19810.77</v>
      </c>
      <c r="AD52" s="191"/>
      <c r="AE52" s="190">
        <f t="shared" si="3"/>
        <v>304483.60667000001</v>
      </c>
      <c r="AH52" s="192">
        <v>2029890.55</v>
      </c>
      <c r="AI52" s="192">
        <f>+AH52*0.15</f>
        <v>304483.58250000002</v>
      </c>
    </row>
    <row r="53" spans="1:35">
      <c r="A53" s="189"/>
      <c r="B53" s="189"/>
      <c r="C53" s="189"/>
      <c r="D53" s="189"/>
      <c r="E53" s="189"/>
      <c r="F53" s="189" t="s">
        <v>203</v>
      </c>
      <c r="G53" s="190">
        <v>5837.86</v>
      </c>
      <c r="H53" s="191"/>
      <c r="I53" s="190">
        <v>6610.16</v>
      </c>
      <c r="J53" s="191"/>
      <c r="K53" s="190">
        <v>6154.14</v>
      </c>
      <c r="L53" s="191"/>
      <c r="M53" s="190">
        <v>6598.74</v>
      </c>
      <c r="N53" s="191"/>
      <c r="O53" s="190">
        <v>5269.54</v>
      </c>
      <c r="P53" s="191"/>
      <c r="Q53" s="190">
        <v>5072.71</v>
      </c>
      <c r="R53" s="191"/>
      <c r="S53" s="190">
        <v>4867.7</v>
      </c>
      <c r="T53" s="191"/>
      <c r="U53" s="190">
        <v>4612.83</v>
      </c>
      <c r="V53" s="191"/>
      <c r="W53" s="190">
        <v>3968.59</v>
      </c>
      <c r="X53" s="191"/>
      <c r="Y53" s="190">
        <f>11904.45/3</f>
        <v>3968.15</v>
      </c>
      <c r="Z53" s="191"/>
      <c r="AA53" s="190">
        <v>3968.15</v>
      </c>
      <c r="AB53" s="191"/>
      <c r="AC53" s="190">
        <v>3968.15</v>
      </c>
      <c r="AD53" s="191"/>
      <c r="AE53" s="190">
        <f t="shared" si="3"/>
        <v>60896.72</v>
      </c>
      <c r="AH53" s="192">
        <v>2029890.55</v>
      </c>
      <c r="AI53" s="192">
        <f>+AH53*0.03</f>
        <v>60896.716500000002</v>
      </c>
    </row>
    <row r="54" spans="1:35">
      <c r="A54" s="189"/>
      <c r="B54" s="189"/>
      <c r="C54" s="189"/>
      <c r="D54" s="189"/>
      <c r="E54" s="189"/>
      <c r="F54" s="189" t="s">
        <v>204</v>
      </c>
      <c r="G54" s="190">
        <v>2020.2</v>
      </c>
      <c r="H54" s="191"/>
      <c r="I54" s="190">
        <v>2020.2</v>
      </c>
      <c r="J54" s="191"/>
      <c r="K54" s="190">
        <v>2020.2</v>
      </c>
      <c r="L54" s="191"/>
      <c r="M54" s="190">
        <v>15715.2</v>
      </c>
      <c r="N54" s="191"/>
      <c r="O54" s="190">
        <v>2020.2</v>
      </c>
      <c r="P54" s="191"/>
      <c r="Q54" s="190">
        <v>866.4</v>
      </c>
      <c r="R54" s="191"/>
      <c r="S54" s="190">
        <v>3174</v>
      </c>
      <c r="T54" s="191"/>
      <c r="U54" s="190">
        <v>0</v>
      </c>
      <c r="V54" s="191"/>
      <c r="W54" s="190">
        <v>3174</v>
      </c>
      <c r="X54" s="191"/>
      <c r="Y54" s="190">
        <v>3174</v>
      </c>
      <c r="Z54" s="191"/>
      <c r="AA54" s="190">
        <v>3174</v>
      </c>
      <c r="AB54" s="191"/>
      <c r="AC54" s="190">
        <v>3174</v>
      </c>
      <c r="AD54" s="191"/>
      <c r="AE54" s="190">
        <f t="shared" si="3"/>
        <v>40532.400000000001</v>
      </c>
    </row>
    <row r="55" spans="1:35">
      <c r="A55" s="189"/>
      <c r="B55" s="189"/>
      <c r="C55" s="189"/>
      <c r="D55" s="189"/>
      <c r="E55" s="189"/>
      <c r="F55" s="189" t="s">
        <v>205</v>
      </c>
      <c r="G55" s="190">
        <v>1375</v>
      </c>
      <c r="H55" s="191"/>
      <c r="I55" s="190">
        <v>0</v>
      </c>
      <c r="J55" s="191"/>
      <c r="K55" s="190">
        <v>1375</v>
      </c>
      <c r="L55" s="191"/>
      <c r="M55" s="190">
        <v>750</v>
      </c>
      <c r="N55" s="191"/>
      <c r="O55" s="190">
        <v>2250</v>
      </c>
      <c r="P55" s="191"/>
      <c r="Q55" s="190">
        <v>0</v>
      </c>
      <c r="R55" s="191"/>
      <c r="S55" s="190">
        <v>1500</v>
      </c>
      <c r="T55" s="191"/>
      <c r="U55" s="190">
        <v>1375</v>
      </c>
      <c r="V55" s="191"/>
      <c r="W55" s="190">
        <v>1375</v>
      </c>
      <c r="X55" s="191"/>
      <c r="Y55" s="190">
        <v>1375</v>
      </c>
      <c r="Z55" s="191"/>
      <c r="AA55" s="190">
        <v>1375</v>
      </c>
      <c r="AB55" s="191"/>
      <c r="AC55" s="190">
        <v>1375</v>
      </c>
      <c r="AD55" s="191"/>
      <c r="AE55" s="190">
        <f t="shared" si="3"/>
        <v>14125</v>
      </c>
    </row>
    <row r="56" spans="1:35">
      <c r="A56" s="189"/>
      <c r="B56" s="189"/>
      <c r="C56" s="189"/>
      <c r="D56" s="189"/>
      <c r="E56" s="189"/>
      <c r="F56" s="189" t="s">
        <v>206</v>
      </c>
      <c r="G56" s="190">
        <v>11041.49</v>
      </c>
      <c r="H56" s="191"/>
      <c r="I56" s="190">
        <v>4000</v>
      </c>
      <c r="J56" s="191"/>
      <c r="K56" s="190">
        <v>4000</v>
      </c>
      <c r="L56" s="191"/>
      <c r="M56" s="190">
        <v>4012.5</v>
      </c>
      <c r="N56" s="191"/>
      <c r="O56" s="190">
        <v>4000</v>
      </c>
      <c r="P56" s="191"/>
      <c r="Q56" s="190">
        <v>4923.07</v>
      </c>
      <c r="R56" s="191"/>
      <c r="S56" s="190">
        <v>4000</v>
      </c>
      <c r="T56" s="191"/>
      <c r="U56" s="190">
        <v>4000</v>
      </c>
      <c r="V56" s="191"/>
      <c r="W56" s="190">
        <v>4000</v>
      </c>
      <c r="X56" s="191"/>
      <c r="Y56" s="190">
        <v>4000</v>
      </c>
      <c r="Z56" s="191"/>
      <c r="AA56" s="190">
        <v>4000</v>
      </c>
      <c r="AB56" s="191"/>
      <c r="AC56" s="190">
        <v>4000</v>
      </c>
      <c r="AD56" s="191"/>
      <c r="AE56" s="190">
        <f t="shared" si="3"/>
        <v>55977.06</v>
      </c>
    </row>
    <row r="57" spans="1:35">
      <c r="A57" s="189"/>
      <c r="B57" s="189"/>
      <c r="C57" s="189"/>
      <c r="D57" s="189"/>
      <c r="E57" s="189"/>
      <c r="F57" s="189" t="s">
        <v>207</v>
      </c>
      <c r="G57" s="190">
        <v>3746</v>
      </c>
      <c r="H57" s="191"/>
      <c r="I57" s="190">
        <v>3500</v>
      </c>
      <c r="J57" s="191"/>
      <c r="K57" s="190">
        <v>3500</v>
      </c>
      <c r="L57" s="191"/>
      <c r="M57" s="190">
        <v>3500</v>
      </c>
      <c r="N57" s="191"/>
      <c r="O57" s="190">
        <v>4156</v>
      </c>
      <c r="P57" s="191"/>
      <c r="Q57" s="190">
        <v>3664</v>
      </c>
      <c r="R57" s="191"/>
      <c r="S57" s="190">
        <v>3787</v>
      </c>
      <c r="T57" s="191"/>
      <c r="U57" s="190">
        <v>5878</v>
      </c>
      <c r="V57" s="191"/>
      <c r="W57" s="190">
        <v>5500</v>
      </c>
      <c r="X57" s="191"/>
      <c r="Y57" s="190">
        <v>5500</v>
      </c>
      <c r="Z57" s="191"/>
      <c r="AA57" s="190">
        <v>5500</v>
      </c>
      <c r="AB57" s="191"/>
      <c r="AC57" s="190">
        <v>3500</v>
      </c>
      <c r="AD57" s="191"/>
      <c r="AE57" s="190">
        <f t="shared" si="3"/>
        <v>51731</v>
      </c>
    </row>
    <row r="58" spans="1:35">
      <c r="A58" s="189"/>
      <c r="B58" s="189"/>
      <c r="C58" s="189"/>
      <c r="D58" s="189"/>
      <c r="E58" s="189"/>
      <c r="F58" s="189" t="s">
        <v>208</v>
      </c>
      <c r="G58" s="190">
        <v>404.95</v>
      </c>
      <c r="H58" s="191"/>
      <c r="I58" s="190">
        <v>0</v>
      </c>
      <c r="J58" s="191"/>
      <c r="K58" s="190">
        <v>110</v>
      </c>
      <c r="L58" s="191"/>
      <c r="M58" s="190">
        <v>110</v>
      </c>
      <c r="N58" s="191"/>
      <c r="O58" s="190">
        <v>110</v>
      </c>
      <c r="P58" s="191"/>
      <c r="Q58" s="190">
        <v>2898</v>
      </c>
      <c r="R58" s="191"/>
      <c r="S58" s="190">
        <v>31.6</v>
      </c>
      <c r="T58" s="191"/>
      <c r="U58" s="190">
        <v>110</v>
      </c>
      <c r="V58" s="191"/>
      <c r="W58" s="190">
        <v>212.19</v>
      </c>
      <c r="X58" s="191"/>
      <c r="Y58" s="190">
        <v>110</v>
      </c>
      <c r="Z58" s="191"/>
      <c r="AA58" s="190">
        <v>110</v>
      </c>
      <c r="AB58" s="191"/>
      <c r="AC58" s="190">
        <v>110</v>
      </c>
      <c r="AD58" s="191"/>
      <c r="AE58" s="190">
        <f t="shared" si="3"/>
        <v>4316.74</v>
      </c>
    </row>
    <row r="59" spans="1:35">
      <c r="A59" s="189"/>
      <c r="B59" s="189"/>
      <c r="C59" s="189"/>
      <c r="D59" s="189"/>
      <c r="E59" s="189"/>
      <c r="F59" s="189" t="s">
        <v>209</v>
      </c>
      <c r="G59" s="190">
        <v>1820</v>
      </c>
      <c r="H59" s="191"/>
      <c r="I59" s="190">
        <v>5620</v>
      </c>
      <c r="J59" s="191"/>
      <c r="K59" s="190">
        <v>8494.7199999999993</v>
      </c>
      <c r="L59" s="191"/>
      <c r="M59" s="190">
        <v>8091.2</v>
      </c>
      <c r="N59" s="191"/>
      <c r="O59" s="190">
        <v>9706.5</v>
      </c>
      <c r="P59" s="191"/>
      <c r="Q59" s="190">
        <v>4731</v>
      </c>
      <c r="R59" s="191"/>
      <c r="S59" s="190">
        <v>6502.5</v>
      </c>
      <c r="T59" s="191"/>
      <c r="U59" s="190">
        <v>9024</v>
      </c>
      <c r="V59" s="191"/>
      <c r="W59" s="190">
        <v>9024</v>
      </c>
      <c r="X59" s="191"/>
      <c r="Y59" s="190">
        <v>9024</v>
      </c>
      <c r="Z59" s="191"/>
      <c r="AA59" s="190">
        <v>9024</v>
      </c>
      <c r="AB59" s="191"/>
      <c r="AC59" s="190">
        <v>9024</v>
      </c>
      <c r="AD59" s="191"/>
      <c r="AE59" s="190">
        <f t="shared" si="3"/>
        <v>90085.92</v>
      </c>
    </row>
    <row r="60" spans="1:35">
      <c r="A60" s="189"/>
      <c r="B60" s="189"/>
      <c r="C60" s="189"/>
      <c r="D60" s="189"/>
      <c r="E60" s="189"/>
      <c r="F60" s="189" t="s">
        <v>210</v>
      </c>
      <c r="G60" s="190">
        <v>1665.78</v>
      </c>
      <c r="H60" s="191"/>
      <c r="I60" s="190">
        <v>1723.46</v>
      </c>
      <c r="J60" s="191"/>
      <c r="K60" s="190">
        <v>1430.81</v>
      </c>
      <c r="L60" s="191"/>
      <c r="M60" s="190">
        <v>1393.16</v>
      </c>
      <c r="N60" s="191"/>
      <c r="O60" s="190">
        <v>1387.21</v>
      </c>
      <c r="P60" s="191"/>
      <c r="Q60" s="190">
        <v>1362.01</v>
      </c>
      <c r="R60" s="191"/>
      <c r="S60" s="190">
        <v>1337.27</v>
      </c>
      <c r="T60" s="191"/>
      <c r="U60" s="190">
        <v>1349.04</v>
      </c>
      <c r="V60" s="191"/>
      <c r="W60" s="190">
        <v>1349.04</v>
      </c>
      <c r="X60" s="191"/>
      <c r="Y60" s="190">
        <v>1349.04</v>
      </c>
      <c r="Z60" s="191"/>
      <c r="AA60" s="190">
        <v>1349.04</v>
      </c>
      <c r="AB60" s="191"/>
      <c r="AC60" s="190">
        <v>1349.04</v>
      </c>
      <c r="AD60" s="191"/>
      <c r="AE60" s="190">
        <f t="shared" si="3"/>
        <v>17044.900000000001</v>
      </c>
    </row>
    <row r="61" spans="1:35">
      <c r="A61" s="189"/>
      <c r="B61" s="189"/>
      <c r="C61" s="189"/>
      <c r="D61" s="189"/>
      <c r="E61" s="189"/>
      <c r="F61" s="189" t="s">
        <v>211</v>
      </c>
      <c r="G61" s="190">
        <v>0</v>
      </c>
      <c r="H61" s="191"/>
      <c r="I61" s="190">
        <v>11132.84</v>
      </c>
      <c r="J61" s="191"/>
      <c r="K61" s="190">
        <v>0</v>
      </c>
      <c r="L61" s="191"/>
      <c r="M61" s="190">
        <v>0</v>
      </c>
      <c r="N61" s="191"/>
      <c r="O61" s="190">
        <v>2235</v>
      </c>
      <c r="P61" s="191"/>
      <c r="Q61" s="190">
        <v>856.96</v>
      </c>
      <c r="R61" s="191"/>
      <c r="S61" s="190">
        <v>0</v>
      </c>
      <c r="T61" s="191"/>
      <c r="U61" s="190">
        <v>250</v>
      </c>
      <c r="V61" s="191"/>
      <c r="W61" s="190">
        <v>0</v>
      </c>
      <c r="X61" s="191"/>
      <c r="Y61" s="190">
        <v>0</v>
      </c>
      <c r="Z61" s="191"/>
      <c r="AA61" s="190">
        <v>0</v>
      </c>
      <c r="AB61" s="191"/>
      <c r="AC61" s="190">
        <v>0</v>
      </c>
      <c r="AD61" s="191"/>
      <c r="AE61" s="190">
        <f t="shared" si="3"/>
        <v>14474.8</v>
      </c>
    </row>
    <row r="62" spans="1:35">
      <c r="A62" s="189"/>
      <c r="B62" s="189"/>
      <c r="C62" s="189"/>
      <c r="D62" s="189"/>
      <c r="E62" s="189"/>
      <c r="F62" s="189" t="s">
        <v>212</v>
      </c>
      <c r="G62" s="190">
        <v>0</v>
      </c>
      <c r="H62" s="191"/>
      <c r="I62" s="190">
        <v>856.96</v>
      </c>
      <c r="J62" s="191"/>
      <c r="K62" s="190">
        <v>856.96</v>
      </c>
      <c r="L62" s="191"/>
      <c r="M62" s="190">
        <v>856.96</v>
      </c>
      <c r="N62" s="191"/>
      <c r="O62" s="190">
        <v>856.96</v>
      </c>
      <c r="P62" s="191"/>
      <c r="Q62" s="190">
        <v>0</v>
      </c>
      <c r="R62" s="191"/>
      <c r="S62" s="190">
        <v>1778.2</v>
      </c>
      <c r="T62" s="191"/>
      <c r="U62" s="190">
        <v>856.96</v>
      </c>
      <c r="V62" s="191"/>
      <c r="W62" s="190">
        <v>889.1</v>
      </c>
      <c r="X62" s="191"/>
      <c r="Y62" s="190">
        <v>856.96</v>
      </c>
      <c r="Z62" s="191"/>
      <c r="AA62" s="190">
        <v>856.96</v>
      </c>
      <c r="AB62" s="191"/>
      <c r="AC62" s="190">
        <v>856.96</v>
      </c>
      <c r="AD62" s="191"/>
      <c r="AE62" s="190">
        <f t="shared" si="3"/>
        <v>9522.98</v>
      </c>
    </row>
    <row r="63" spans="1:35">
      <c r="A63" s="189"/>
      <c r="B63" s="189"/>
      <c r="C63" s="189"/>
      <c r="D63" s="189"/>
      <c r="E63" s="189"/>
      <c r="F63" s="189" t="s">
        <v>213</v>
      </c>
      <c r="G63" s="190">
        <v>0</v>
      </c>
      <c r="H63" s="191"/>
      <c r="I63" s="190">
        <v>0</v>
      </c>
      <c r="J63" s="191"/>
      <c r="K63" s="190">
        <v>0</v>
      </c>
      <c r="L63" s="191"/>
      <c r="M63" s="190">
        <v>0</v>
      </c>
      <c r="N63" s="191"/>
      <c r="O63" s="190">
        <v>0</v>
      </c>
      <c r="P63" s="191"/>
      <c r="Q63" s="190">
        <v>0</v>
      </c>
      <c r="R63" s="191"/>
      <c r="S63" s="190">
        <v>0</v>
      </c>
      <c r="T63" s="191"/>
      <c r="U63" s="190">
        <v>1539.86</v>
      </c>
      <c r="V63" s="191"/>
      <c r="W63" s="190">
        <v>0</v>
      </c>
      <c r="X63" s="191"/>
      <c r="Y63" s="190">
        <v>0</v>
      </c>
      <c r="Z63" s="191"/>
      <c r="AA63" s="190">
        <v>0</v>
      </c>
      <c r="AB63" s="191"/>
      <c r="AC63" s="190">
        <v>0</v>
      </c>
      <c r="AD63" s="191"/>
      <c r="AE63" s="190">
        <f t="shared" si="3"/>
        <v>1539.86</v>
      </c>
    </row>
    <row r="64" spans="1:35">
      <c r="A64" s="189"/>
      <c r="B64" s="189"/>
      <c r="C64" s="189"/>
      <c r="D64" s="189"/>
      <c r="E64" s="189"/>
      <c r="F64" s="189" t="s">
        <v>214</v>
      </c>
      <c r="G64" s="190">
        <v>630.35</v>
      </c>
      <c r="H64" s="191"/>
      <c r="I64" s="190">
        <v>560.95000000000005</v>
      </c>
      <c r="J64" s="191"/>
      <c r="K64" s="190">
        <v>587.54999999999995</v>
      </c>
      <c r="L64" s="191"/>
      <c r="M64" s="190">
        <v>663.85</v>
      </c>
      <c r="N64" s="191"/>
      <c r="O64" s="190">
        <v>668.05</v>
      </c>
      <c r="P64" s="191"/>
      <c r="Q64" s="190">
        <v>635.85</v>
      </c>
      <c r="R64" s="191"/>
      <c r="S64" s="190">
        <v>646.85</v>
      </c>
      <c r="T64" s="191"/>
      <c r="U64" s="190">
        <v>621.65</v>
      </c>
      <c r="V64" s="191"/>
      <c r="W64" s="190">
        <v>646.85</v>
      </c>
      <c r="X64" s="191"/>
      <c r="Y64" s="190">
        <v>646.85</v>
      </c>
      <c r="Z64" s="191"/>
      <c r="AA64" s="190">
        <v>646.85</v>
      </c>
      <c r="AB64" s="191"/>
      <c r="AC64" s="190">
        <v>646.85</v>
      </c>
      <c r="AD64" s="191"/>
      <c r="AE64" s="190">
        <f t="shared" si="3"/>
        <v>7602.5</v>
      </c>
    </row>
    <row r="65" spans="1:31">
      <c r="A65" s="189"/>
      <c r="B65" s="189"/>
      <c r="C65" s="189"/>
      <c r="D65" s="189"/>
      <c r="E65" s="189"/>
      <c r="F65" s="189" t="s">
        <v>215</v>
      </c>
      <c r="G65" s="190">
        <v>195000</v>
      </c>
      <c r="H65" s="191"/>
      <c r="I65" s="190">
        <v>15000</v>
      </c>
      <c r="J65" s="191"/>
      <c r="K65" s="190">
        <v>15000</v>
      </c>
      <c r="L65" s="191"/>
      <c r="M65" s="190">
        <v>15000</v>
      </c>
      <c r="N65" s="191"/>
      <c r="O65" s="190">
        <v>15000</v>
      </c>
      <c r="P65" s="191"/>
      <c r="Q65" s="190">
        <v>15000</v>
      </c>
      <c r="R65" s="191"/>
      <c r="S65" s="190">
        <v>15000</v>
      </c>
      <c r="T65" s="191"/>
      <c r="U65" s="190">
        <v>15000</v>
      </c>
      <c r="V65" s="191"/>
      <c r="W65" s="190">
        <v>15000</v>
      </c>
      <c r="X65" s="191"/>
      <c r="Y65" s="190">
        <v>15000</v>
      </c>
      <c r="Z65" s="191"/>
      <c r="AA65" s="190">
        <v>15000</v>
      </c>
      <c r="AB65" s="191"/>
      <c r="AC65" s="190">
        <v>15000</v>
      </c>
      <c r="AD65" s="191"/>
      <c r="AE65" s="190">
        <f t="shared" si="3"/>
        <v>360000</v>
      </c>
    </row>
    <row r="66" spans="1:31">
      <c r="A66" s="189"/>
      <c r="B66" s="189"/>
      <c r="C66" s="189"/>
      <c r="D66" s="189"/>
      <c r="E66" s="189"/>
      <c r="F66" s="189" t="s">
        <v>216</v>
      </c>
      <c r="G66" s="190">
        <v>790</v>
      </c>
      <c r="H66" s="191"/>
      <c r="I66" s="190">
        <v>790</v>
      </c>
      <c r="J66" s="191"/>
      <c r="K66" s="190">
        <v>434.5</v>
      </c>
      <c r="L66" s="191"/>
      <c r="M66" s="190">
        <v>790</v>
      </c>
      <c r="N66" s="191"/>
      <c r="O66" s="190">
        <v>780</v>
      </c>
      <c r="P66" s="191"/>
      <c r="Q66" s="190">
        <v>790</v>
      </c>
      <c r="R66" s="191"/>
      <c r="S66" s="190">
        <v>0</v>
      </c>
      <c r="T66" s="191"/>
      <c r="U66" s="190">
        <v>1580</v>
      </c>
      <c r="V66" s="191"/>
      <c r="W66" s="190">
        <v>790</v>
      </c>
      <c r="X66" s="191"/>
      <c r="Y66" s="190">
        <v>790</v>
      </c>
      <c r="Z66" s="191"/>
      <c r="AA66" s="190">
        <v>790</v>
      </c>
      <c r="AB66" s="191"/>
      <c r="AC66" s="190">
        <v>790</v>
      </c>
      <c r="AD66" s="191"/>
      <c r="AE66" s="190">
        <f t="shared" si="3"/>
        <v>9114.5</v>
      </c>
    </row>
    <row r="67" spans="1:31">
      <c r="A67" s="189"/>
      <c r="B67" s="189"/>
      <c r="C67" s="189"/>
      <c r="D67" s="189"/>
      <c r="E67" s="189"/>
      <c r="F67" s="189" t="s">
        <v>217</v>
      </c>
      <c r="G67" s="190">
        <v>550</v>
      </c>
      <c r="H67" s="191"/>
      <c r="I67" s="190">
        <v>396.5</v>
      </c>
      <c r="J67" s="191"/>
      <c r="K67" s="190">
        <v>0</v>
      </c>
      <c r="L67" s="191"/>
      <c r="M67" s="190">
        <v>0</v>
      </c>
      <c r="N67" s="191"/>
      <c r="O67" s="190">
        <v>0</v>
      </c>
      <c r="P67" s="191"/>
      <c r="Q67" s="190">
        <v>0</v>
      </c>
      <c r="R67" s="191"/>
      <c r="S67" s="190">
        <v>0</v>
      </c>
      <c r="T67" s="191"/>
      <c r="U67" s="190">
        <v>0</v>
      </c>
      <c r="V67" s="191"/>
      <c r="W67" s="190">
        <v>0</v>
      </c>
      <c r="X67" s="191"/>
      <c r="Y67" s="190">
        <v>0</v>
      </c>
      <c r="Z67" s="191"/>
      <c r="AA67" s="190">
        <v>0</v>
      </c>
      <c r="AB67" s="191"/>
      <c r="AC67" s="190">
        <v>0</v>
      </c>
      <c r="AD67" s="191"/>
      <c r="AE67" s="190">
        <f t="shared" si="3"/>
        <v>946.5</v>
      </c>
    </row>
    <row r="68" spans="1:31">
      <c r="A68" s="189"/>
      <c r="B68" s="189"/>
      <c r="C68" s="189"/>
      <c r="D68" s="189"/>
      <c r="E68" s="189"/>
      <c r="F68" s="189" t="s">
        <v>218</v>
      </c>
      <c r="G68" s="190">
        <v>128.4</v>
      </c>
      <c r="H68" s="191"/>
      <c r="I68" s="190">
        <v>0</v>
      </c>
      <c r="J68" s="191"/>
      <c r="K68" s="190">
        <v>326.72000000000003</v>
      </c>
      <c r="L68" s="191"/>
      <c r="M68" s="190">
        <v>87.61</v>
      </c>
      <c r="N68" s="191"/>
      <c r="O68" s="190">
        <v>100.15</v>
      </c>
      <c r="P68" s="191"/>
      <c r="Q68" s="190">
        <v>0</v>
      </c>
      <c r="R68" s="191"/>
      <c r="S68" s="190">
        <v>103.28</v>
      </c>
      <c r="T68" s="191"/>
      <c r="U68" s="190">
        <v>46.5</v>
      </c>
      <c r="V68" s="191"/>
      <c r="W68" s="190">
        <v>103.21</v>
      </c>
      <c r="X68" s="191"/>
      <c r="Y68" s="190">
        <v>103.21</v>
      </c>
      <c r="Z68" s="191"/>
      <c r="AA68" s="190">
        <v>103.21</v>
      </c>
      <c r="AB68" s="191"/>
      <c r="AC68" s="190">
        <v>103.21</v>
      </c>
      <c r="AD68" s="191"/>
      <c r="AE68" s="190">
        <f t="shared" si="3"/>
        <v>1205.5</v>
      </c>
    </row>
    <row r="69" spans="1:31">
      <c r="A69" s="189"/>
      <c r="B69" s="189"/>
      <c r="C69" s="189"/>
      <c r="D69" s="189"/>
      <c r="E69" s="189"/>
      <c r="F69" s="189" t="s">
        <v>219</v>
      </c>
      <c r="G69" s="190">
        <v>0</v>
      </c>
      <c r="H69" s="191"/>
      <c r="I69" s="190">
        <v>4956.99</v>
      </c>
      <c r="J69" s="191"/>
      <c r="K69" s="190">
        <v>280.94</v>
      </c>
      <c r="L69" s="191"/>
      <c r="M69" s="190">
        <v>177.9</v>
      </c>
      <c r="N69" s="191"/>
      <c r="O69" s="190">
        <v>0</v>
      </c>
      <c r="P69" s="191"/>
      <c r="Q69" s="190">
        <v>65.31</v>
      </c>
      <c r="R69" s="191"/>
      <c r="S69" s="190">
        <v>115.14</v>
      </c>
      <c r="T69" s="191"/>
      <c r="U69" s="190">
        <v>272.75</v>
      </c>
      <c r="V69" s="191"/>
      <c r="W69" s="190">
        <v>0</v>
      </c>
      <c r="X69" s="191"/>
      <c r="Y69" s="190">
        <v>0</v>
      </c>
      <c r="Z69" s="191"/>
      <c r="AA69" s="190">
        <v>0</v>
      </c>
      <c r="AB69" s="191"/>
      <c r="AC69" s="190">
        <v>0</v>
      </c>
      <c r="AD69" s="191"/>
      <c r="AE69" s="190">
        <f t="shared" si="3"/>
        <v>5869.03</v>
      </c>
    </row>
    <row r="70" spans="1:31">
      <c r="A70" s="189"/>
      <c r="B70" s="189"/>
      <c r="C70" s="189"/>
      <c r="D70" s="189"/>
      <c r="E70" s="189"/>
      <c r="F70" s="189" t="s">
        <v>220</v>
      </c>
      <c r="G70" s="190">
        <v>349.6</v>
      </c>
      <c r="H70" s="191"/>
      <c r="I70" s="190">
        <v>349.63</v>
      </c>
      <c r="J70" s="191"/>
      <c r="K70" s="190">
        <v>349.63</v>
      </c>
      <c r="L70" s="191"/>
      <c r="M70" s="190">
        <v>530.65</v>
      </c>
      <c r="N70" s="191"/>
      <c r="O70" s="190">
        <v>350.65</v>
      </c>
      <c r="P70" s="191"/>
      <c r="Q70" s="190">
        <v>350.65</v>
      </c>
      <c r="R70" s="191"/>
      <c r="S70" s="190">
        <v>181.68</v>
      </c>
      <c r="T70" s="191"/>
      <c r="U70" s="190">
        <v>360.68</v>
      </c>
      <c r="V70" s="191"/>
      <c r="W70" s="190">
        <v>360.68</v>
      </c>
      <c r="X70" s="191"/>
      <c r="Y70" s="190">
        <v>360.68</v>
      </c>
      <c r="Z70" s="191"/>
      <c r="AA70" s="190">
        <v>360.68</v>
      </c>
      <c r="AB70" s="191"/>
      <c r="AC70" s="190">
        <v>360.68</v>
      </c>
      <c r="AD70" s="191"/>
      <c r="AE70" s="190">
        <f t="shared" si="3"/>
        <v>4265.8900000000003</v>
      </c>
    </row>
    <row r="71" spans="1:31">
      <c r="A71" s="189"/>
      <c r="B71" s="189"/>
      <c r="C71" s="189"/>
      <c r="D71" s="189"/>
      <c r="E71" s="189"/>
      <c r="F71" s="189" t="s">
        <v>221</v>
      </c>
      <c r="G71" s="190">
        <v>0</v>
      </c>
      <c r="H71" s="191"/>
      <c r="I71" s="190">
        <v>3.32</v>
      </c>
      <c r="J71" s="191"/>
      <c r="K71" s="190">
        <v>238.92</v>
      </c>
      <c r="L71" s="191"/>
      <c r="M71" s="190">
        <v>201</v>
      </c>
      <c r="N71" s="191"/>
      <c r="O71" s="190">
        <v>40.619999999999997</v>
      </c>
      <c r="P71" s="191"/>
      <c r="Q71" s="190">
        <v>0</v>
      </c>
      <c r="R71" s="191"/>
      <c r="S71" s="190">
        <v>0</v>
      </c>
      <c r="T71" s="191"/>
      <c r="U71" s="190">
        <v>547.79999999999995</v>
      </c>
      <c r="V71" s="191"/>
      <c r="W71" s="190">
        <v>10.64</v>
      </c>
      <c r="X71" s="191"/>
      <c r="Y71" s="190">
        <v>0</v>
      </c>
      <c r="Z71" s="191"/>
      <c r="AA71" s="190">
        <v>0</v>
      </c>
      <c r="AB71" s="191"/>
      <c r="AC71" s="190">
        <v>0</v>
      </c>
      <c r="AD71" s="191"/>
      <c r="AE71" s="190">
        <f t="shared" si="3"/>
        <v>1042.3</v>
      </c>
    </row>
    <row r="72" spans="1:31">
      <c r="A72" s="189"/>
      <c r="B72" s="189"/>
      <c r="C72" s="189"/>
      <c r="D72" s="189"/>
      <c r="E72" s="189"/>
      <c r="F72" s="189" t="s">
        <v>222</v>
      </c>
      <c r="G72" s="190">
        <v>0</v>
      </c>
      <c r="H72" s="191"/>
      <c r="I72" s="190">
        <v>199.8</v>
      </c>
      <c r="J72" s="191"/>
      <c r="K72" s="190">
        <v>0</v>
      </c>
      <c r="L72" s="191"/>
      <c r="M72" s="190">
        <v>0</v>
      </c>
      <c r="N72" s="191"/>
      <c r="O72" s="190">
        <v>199.8</v>
      </c>
      <c r="P72" s="191"/>
      <c r="Q72" s="190">
        <v>0</v>
      </c>
      <c r="R72" s="191"/>
      <c r="S72" s="190">
        <v>199.8</v>
      </c>
      <c r="T72" s="191"/>
      <c r="U72" s="190">
        <v>0</v>
      </c>
      <c r="V72" s="191"/>
      <c r="W72" s="190">
        <v>0</v>
      </c>
      <c r="X72" s="191"/>
      <c r="Y72" s="190">
        <v>199.8</v>
      </c>
      <c r="Z72" s="191"/>
      <c r="AA72" s="190">
        <v>0</v>
      </c>
      <c r="AB72" s="191"/>
      <c r="AC72" s="190">
        <v>0</v>
      </c>
      <c r="AD72" s="191"/>
      <c r="AE72" s="190">
        <f t="shared" si="3"/>
        <v>799.2</v>
      </c>
    </row>
    <row r="73" spans="1:31">
      <c r="A73" s="189"/>
      <c r="B73" s="189"/>
      <c r="C73" s="189"/>
      <c r="D73" s="189"/>
      <c r="E73" s="189"/>
      <c r="F73" s="189" t="s">
        <v>223</v>
      </c>
      <c r="G73" s="190">
        <v>0</v>
      </c>
      <c r="H73" s="191"/>
      <c r="I73" s="190">
        <v>0</v>
      </c>
      <c r="J73" s="191"/>
      <c r="K73" s="190">
        <v>0</v>
      </c>
      <c r="L73" s="191"/>
      <c r="M73" s="190">
        <v>0</v>
      </c>
      <c r="N73" s="191"/>
      <c r="O73" s="190">
        <v>0</v>
      </c>
      <c r="P73" s="191"/>
      <c r="Q73" s="190">
        <v>0</v>
      </c>
      <c r="R73" s="191"/>
      <c r="S73" s="190">
        <v>0</v>
      </c>
      <c r="T73" s="191"/>
      <c r="U73" s="190">
        <v>94.26</v>
      </c>
      <c r="V73" s="191"/>
      <c r="W73" s="190">
        <v>0</v>
      </c>
      <c r="X73" s="191"/>
      <c r="Y73" s="190">
        <v>0</v>
      </c>
      <c r="Z73" s="191"/>
      <c r="AA73" s="190">
        <v>0</v>
      </c>
      <c r="AB73" s="191"/>
      <c r="AC73" s="190">
        <v>0</v>
      </c>
      <c r="AD73" s="191"/>
      <c r="AE73" s="190">
        <f t="shared" si="3"/>
        <v>94.26</v>
      </c>
    </row>
    <row r="74" spans="1:31">
      <c r="A74" s="189"/>
      <c r="B74" s="189"/>
      <c r="C74" s="189"/>
      <c r="D74" s="189"/>
      <c r="E74" s="189"/>
      <c r="F74" s="189" t="s">
        <v>224</v>
      </c>
      <c r="G74" s="190">
        <v>20.16</v>
      </c>
      <c r="H74" s="191"/>
      <c r="I74" s="190">
        <v>6.56</v>
      </c>
      <c r="J74" s="191"/>
      <c r="K74" s="190">
        <v>0</v>
      </c>
      <c r="L74" s="191"/>
      <c r="M74" s="190">
        <v>228.93</v>
      </c>
      <c r="N74" s="191"/>
      <c r="O74" s="190">
        <v>1997.02</v>
      </c>
      <c r="P74" s="191"/>
      <c r="Q74" s="190">
        <v>591.25</v>
      </c>
      <c r="R74" s="191"/>
      <c r="S74" s="190">
        <v>0</v>
      </c>
      <c r="T74" s="191"/>
      <c r="U74" s="190">
        <v>650.21</v>
      </c>
      <c r="V74" s="191"/>
      <c r="W74" s="190">
        <v>0</v>
      </c>
      <c r="X74" s="191"/>
      <c r="Y74" s="190">
        <v>10000</v>
      </c>
      <c r="Z74" s="191"/>
      <c r="AA74" s="190">
        <v>10000</v>
      </c>
      <c r="AB74" s="191"/>
      <c r="AC74" s="190">
        <v>10000</v>
      </c>
      <c r="AD74" s="191"/>
      <c r="AE74" s="190">
        <f t="shared" si="3"/>
        <v>33494.129999999997</v>
      </c>
    </row>
    <row r="75" spans="1:31">
      <c r="A75" s="189"/>
      <c r="B75" s="189"/>
      <c r="C75" s="189"/>
      <c r="D75" s="189"/>
      <c r="E75" s="189"/>
      <c r="F75" s="189" t="s">
        <v>225</v>
      </c>
      <c r="G75" s="190">
        <v>506.36</v>
      </c>
      <c r="H75" s="191"/>
      <c r="I75" s="190">
        <v>196.76</v>
      </c>
      <c r="J75" s="191"/>
      <c r="K75" s="190">
        <v>160.41999999999999</v>
      </c>
      <c r="L75" s="191"/>
      <c r="M75" s="190">
        <v>192.02</v>
      </c>
      <c r="N75" s="191"/>
      <c r="O75" s="190">
        <v>160.41999999999999</v>
      </c>
      <c r="P75" s="191"/>
      <c r="Q75" s="190">
        <v>31.6</v>
      </c>
      <c r="R75" s="191"/>
      <c r="S75" s="190">
        <v>0</v>
      </c>
      <c r="T75" s="191"/>
      <c r="U75" s="190">
        <v>34.75</v>
      </c>
      <c r="V75" s="191"/>
      <c r="W75" s="190">
        <v>0</v>
      </c>
      <c r="X75" s="191"/>
      <c r="Y75" s="190">
        <v>0</v>
      </c>
      <c r="Z75" s="191"/>
      <c r="AA75" s="190">
        <v>0</v>
      </c>
      <c r="AB75" s="191"/>
      <c r="AC75" s="190">
        <v>0</v>
      </c>
      <c r="AD75" s="191"/>
      <c r="AE75" s="190">
        <f t="shared" si="3"/>
        <v>1282.33</v>
      </c>
    </row>
    <row r="76" spans="1:31">
      <c r="A76" s="189"/>
      <c r="B76" s="189"/>
      <c r="C76" s="189"/>
      <c r="D76" s="189"/>
      <c r="E76" s="189"/>
      <c r="F76" s="189" t="s">
        <v>226</v>
      </c>
      <c r="G76" s="190">
        <v>1060.67</v>
      </c>
      <c r="H76" s="191"/>
      <c r="I76" s="190">
        <v>1095.5899999999999</v>
      </c>
      <c r="J76" s="191"/>
      <c r="K76" s="190">
        <v>1610.85</v>
      </c>
      <c r="L76" s="191"/>
      <c r="M76" s="190">
        <v>1260.79</v>
      </c>
      <c r="N76" s="191"/>
      <c r="O76" s="190">
        <v>986.3</v>
      </c>
      <c r="P76" s="191"/>
      <c r="Q76" s="190">
        <v>847.16</v>
      </c>
      <c r="R76" s="191"/>
      <c r="S76" s="190">
        <v>948.07</v>
      </c>
      <c r="T76" s="191"/>
      <c r="U76" s="190">
        <v>942.64</v>
      </c>
      <c r="V76" s="191"/>
      <c r="W76" s="190">
        <v>1119.55</v>
      </c>
      <c r="X76" s="191"/>
      <c r="Y76" s="190">
        <v>942.64</v>
      </c>
      <c r="Z76" s="191"/>
      <c r="AA76" s="190">
        <v>942.64</v>
      </c>
      <c r="AB76" s="191"/>
      <c r="AC76" s="190">
        <v>942.64</v>
      </c>
      <c r="AD76" s="191"/>
      <c r="AE76" s="190">
        <f t="shared" si="3"/>
        <v>12699.54</v>
      </c>
    </row>
    <row r="77" spans="1:31">
      <c r="A77" s="189"/>
      <c r="B77" s="189"/>
      <c r="C77" s="189"/>
      <c r="D77" s="189"/>
      <c r="E77" s="189"/>
      <c r="F77" s="189" t="s">
        <v>227</v>
      </c>
      <c r="G77" s="190">
        <v>0</v>
      </c>
      <c r="H77" s="191"/>
      <c r="I77" s="190">
        <v>0</v>
      </c>
      <c r="J77" s="191"/>
      <c r="K77" s="190">
        <v>0</v>
      </c>
      <c r="L77" s="191"/>
      <c r="M77" s="190">
        <v>0</v>
      </c>
      <c r="N77" s="191"/>
      <c r="O77" s="190">
        <v>0</v>
      </c>
      <c r="P77" s="191"/>
      <c r="Q77" s="190">
        <v>0</v>
      </c>
      <c r="R77" s="191"/>
      <c r="S77" s="190">
        <v>0</v>
      </c>
      <c r="T77" s="191"/>
      <c r="U77" s="190">
        <v>0</v>
      </c>
      <c r="V77" s="191"/>
      <c r="W77" s="190">
        <v>0</v>
      </c>
      <c r="X77" s="191"/>
      <c r="Y77" s="190">
        <v>0</v>
      </c>
      <c r="Z77" s="191"/>
      <c r="AA77" s="190">
        <v>0</v>
      </c>
      <c r="AB77" s="191"/>
      <c r="AC77" s="190">
        <v>0</v>
      </c>
      <c r="AD77" s="191"/>
      <c r="AE77" s="190">
        <f t="shared" si="3"/>
        <v>0</v>
      </c>
    </row>
    <row r="78" spans="1:31">
      <c r="A78" s="189"/>
      <c r="B78" s="189"/>
      <c r="C78" s="189"/>
      <c r="D78" s="189"/>
      <c r="E78" s="189"/>
      <c r="F78" s="189" t="s">
        <v>228</v>
      </c>
      <c r="G78" s="190">
        <v>55.36</v>
      </c>
      <c r="H78" s="191"/>
      <c r="I78" s="190">
        <v>55.36</v>
      </c>
      <c r="J78" s="191"/>
      <c r="K78" s="190">
        <v>55.89</v>
      </c>
      <c r="L78" s="191"/>
      <c r="M78" s="190">
        <v>79.61</v>
      </c>
      <c r="N78" s="191"/>
      <c r="O78" s="190">
        <v>166.13</v>
      </c>
      <c r="P78" s="191"/>
      <c r="Q78" s="190">
        <v>534.12</v>
      </c>
      <c r="R78" s="191"/>
      <c r="S78" s="190">
        <v>726.34</v>
      </c>
      <c r="T78" s="191"/>
      <c r="U78" s="190">
        <v>721.01</v>
      </c>
      <c r="V78" s="191"/>
      <c r="W78" s="190">
        <v>204.37</v>
      </c>
      <c r="X78" s="191"/>
      <c r="Y78" s="190">
        <v>204.37</v>
      </c>
      <c r="Z78" s="191"/>
      <c r="AA78" s="190">
        <v>204.37</v>
      </c>
      <c r="AB78" s="191"/>
      <c r="AC78" s="190">
        <v>204.37</v>
      </c>
      <c r="AD78" s="191"/>
      <c r="AE78" s="190">
        <f t="shared" si="3"/>
        <v>3211.3</v>
      </c>
    </row>
    <row r="79" spans="1:31">
      <c r="A79" s="189"/>
      <c r="B79" s="189"/>
      <c r="C79" s="189"/>
      <c r="D79" s="189"/>
      <c r="E79" s="189"/>
      <c r="F79" s="189" t="s">
        <v>229</v>
      </c>
      <c r="G79" s="190">
        <v>451.87</v>
      </c>
      <c r="H79" s="191"/>
      <c r="I79" s="190">
        <v>351.87</v>
      </c>
      <c r="J79" s="191"/>
      <c r="K79" s="190">
        <v>351.87</v>
      </c>
      <c r="L79" s="191"/>
      <c r="M79" s="190">
        <v>351.87</v>
      </c>
      <c r="N79" s="191"/>
      <c r="O79" s="190">
        <v>351.87</v>
      </c>
      <c r="P79" s="191"/>
      <c r="Q79" s="190">
        <v>351.87</v>
      </c>
      <c r="R79" s="191"/>
      <c r="S79" s="190">
        <v>351.87</v>
      </c>
      <c r="T79" s="191"/>
      <c r="U79" s="190">
        <v>383.2</v>
      </c>
      <c r="V79" s="191"/>
      <c r="W79" s="190">
        <v>383.2</v>
      </c>
      <c r="X79" s="191"/>
      <c r="Y79" s="190">
        <v>383.2</v>
      </c>
      <c r="Z79" s="191"/>
      <c r="AA79" s="190">
        <v>383.2</v>
      </c>
      <c r="AB79" s="191"/>
      <c r="AC79" s="190">
        <v>383.2</v>
      </c>
      <c r="AD79" s="191"/>
      <c r="AE79" s="190">
        <f t="shared" si="3"/>
        <v>4479.09</v>
      </c>
    </row>
    <row r="80" spans="1:31">
      <c r="A80" s="189"/>
      <c r="B80" s="189"/>
      <c r="C80" s="189"/>
      <c r="D80" s="189"/>
      <c r="E80" s="189"/>
      <c r="F80" s="189" t="s">
        <v>230</v>
      </c>
      <c r="G80" s="190">
        <v>0</v>
      </c>
      <c r="H80" s="191"/>
      <c r="I80" s="190">
        <v>3687.75</v>
      </c>
      <c r="J80" s="191"/>
      <c r="K80" s="190">
        <v>8195</v>
      </c>
      <c r="L80" s="191"/>
      <c r="M80" s="190">
        <v>8604.75</v>
      </c>
      <c r="N80" s="191"/>
      <c r="O80" s="190">
        <v>6295.25</v>
      </c>
      <c r="P80" s="191"/>
      <c r="Q80" s="190">
        <v>0</v>
      </c>
      <c r="R80" s="191"/>
      <c r="S80" s="190">
        <v>-270</v>
      </c>
      <c r="T80" s="191"/>
      <c r="U80" s="190">
        <v>5922.75</v>
      </c>
      <c r="V80" s="191"/>
      <c r="W80" s="190">
        <v>5922.75</v>
      </c>
      <c r="X80" s="191"/>
      <c r="Y80" s="190">
        <v>5922.75</v>
      </c>
      <c r="Z80" s="191"/>
      <c r="AA80" s="190">
        <v>5922.75</v>
      </c>
      <c r="AB80" s="191"/>
      <c r="AC80" s="190">
        <v>0</v>
      </c>
      <c r="AD80" s="191"/>
      <c r="AE80" s="190">
        <f t="shared" si="3"/>
        <v>50203.75</v>
      </c>
    </row>
    <row r="81" spans="1:33" ht="14.45" thickBot="1">
      <c r="A81" s="189"/>
      <c r="B81" s="189"/>
      <c r="C81" s="189"/>
      <c r="D81" s="189"/>
      <c r="E81" s="189"/>
      <c r="F81" s="189" t="s">
        <v>231</v>
      </c>
      <c r="G81" s="193">
        <v>0</v>
      </c>
      <c r="H81" s="191"/>
      <c r="I81" s="193">
        <v>0</v>
      </c>
      <c r="J81" s="191"/>
      <c r="K81" s="193">
        <v>1150</v>
      </c>
      <c r="L81" s="191"/>
      <c r="M81" s="193">
        <v>0</v>
      </c>
      <c r="N81" s="191"/>
      <c r="O81" s="193">
        <v>7175</v>
      </c>
      <c r="P81" s="191"/>
      <c r="Q81" s="193">
        <v>0</v>
      </c>
      <c r="R81" s="191"/>
      <c r="S81" s="193">
        <v>0</v>
      </c>
      <c r="T81" s="191"/>
      <c r="U81" s="193">
        <v>0</v>
      </c>
      <c r="V81" s="191"/>
      <c r="W81" s="193">
        <v>2499</v>
      </c>
      <c r="X81" s="191"/>
      <c r="Y81" s="193">
        <v>0</v>
      </c>
      <c r="Z81" s="191"/>
      <c r="AA81" s="193">
        <v>2499</v>
      </c>
      <c r="AB81" s="191"/>
      <c r="AC81" s="193">
        <v>0</v>
      </c>
      <c r="AD81" s="191"/>
      <c r="AE81" s="193">
        <f t="shared" si="3"/>
        <v>13323</v>
      </c>
    </row>
    <row r="82" spans="1:33">
      <c r="A82" s="189"/>
      <c r="B82" s="189"/>
      <c r="C82" s="189"/>
      <c r="D82" s="189"/>
      <c r="E82" s="189" t="s">
        <v>232</v>
      </c>
      <c r="F82" s="189"/>
      <c r="G82" s="190">
        <f>ROUND(SUM(G48:G81),5)</f>
        <v>256643.35</v>
      </c>
      <c r="H82" s="191"/>
      <c r="I82" s="190">
        <f>ROUND(SUM(I48:I81),5)</f>
        <v>99959.95</v>
      </c>
      <c r="J82" s="191"/>
      <c r="K82" s="190">
        <f>ROUND(SUM(K48:K81),5)</f>
        <v>89930.37</v>
      </c>
      <c r="L82" s="191"/>
      <c r="M82" s="190">
        <f>ROUND(SUM(M48:M81),5)</f>
        <v>106194.19</v>
      </c>
      <c r="N82" s="191"/>
      <c r="O82" s="190">
        <f>ROUND(SUM(O48:O81),5)</f>
        <v>98115.43</v>
      </c>
      <c r="P82" s="191"/>
      <c r="Q82" s="190">
        <f>ROUND(SUM(Q48:Q81),5)</f>
        <v>73251.960000000006</v>
      </c>
      <c r="R82" s="191"/>
      <c r="S82" s="190">
        <f>ROUND(SUM(S48:S81),5)</f>
        <v>79161.740000000005</v>
      </c>
      <c r="T82" s="191"/>
      <c r="U82" s="190">
        <f>ROUND(SUM(U48:U81),5)</f>
        <v>83086.66</v>
      </c>
      <c r="V82" s="191"/>
      <c r="W82" s="190">
        <f>ROUND(SUM(W48:W81),5)</f>
        <v>80614.69</v>
      </c>
      <c r="X82" s="191"/>
      <c r="Y82" s="190">
        <f>ROUND(SUM(Y48:Y81),5)</f>
        <v>87379.336670000004</v>
      </c>
      <c r="Z82" s="191"/>
      <c r="AA82" s="190">
        <f>ROUND(SUM(AA48:AA81),5)</f>
        <v>89678.54</v>
      </c>
      <c r="AB82" s="191"/>
      <c r="AC82" s="190">
        <f>ROUND(SUM(AC48:AC81),5)</f>
        <v>79256.789999999994</v>
      </c>
      <c r="AD82" s="191"/>
      <c r="AE82" s="190">
        <f t="shared" si="3"/>
        <v>1223273.00667</v>
      </c>
      <c r="AG82" s="198">
        <f>+AE82</f>
        <v>1223273.00667</v>
      </c>
    </row>
    <row r="83" spans="1:33">
      <c r="A83" s="189"/>
      <c r="B83" s="189"/>
      <c r="C83" s="189"/>
      <c r="D83" s="189"/>
      <c r="E83" s="189" t="s">
        <v>233</v>
      </c>
      <c r="F83" s="189"/>
      <c r="G83" s="190"/>
      <c r="H83" s="191"/>
      <c r="I83" s="190"/>
      <c r="J83" s="191"/>
      <c r="K83" s="190"/>
      <c r="L83" s="191"/>
      <c r="M83" s="190"/>
      <c r="N83" s="191"/>
      <c r="O83" s="190"/>
      <c r="P83" s="191"/>
      <c r="Q83" s="190"/>
      <c r="R83" s="191"/>
      <c r="S83" s="190"/>
      <c r="T83" s="191"/>
      <c r="U83" s="190"/>
      <c r="V83" s="191"/>
      <c r="W83" s="190"/>
      <c r="X83" s="191"/>
      <c r="Y83" s="190"/>
      <c r="Z83" s="191"/>
      <c r="AA83" s="190"/>
      <c r="AB83" s="191"/>
      <c r="AC83" s="190"/>
      <c r="AD83" s="191"/>
      <c r="AE83" s="190"/>
      <c r="AG83" s="198">
        <f>+AE108</f>
        <v>25369</v>
      </c>
    </row>
    <row r="84" spans="1:33">
      <c r="A84" s="189"/>
      <c r="B84" s="189"/>
      <c r="C84" s="189"/>
      <c r="D84" s="189"/>
      <c r="E84" s="189"/>
      <c r="F84" s="189" t="s">
        <v>234</v>
      </c>
      <c r="G84" s="190">
        <v>0</v>
      </c>
      <c r="H84" s="191"/>
      <c r="I84" s="190">
        <v>636.70000000000005</v>
      </c>
      <c r="J84" s="191"/>
      <c r="K84" s="190">
        <v>203.42</v>
      </c>
      <c r="L84" s="191"/>
      <c r="M84" s="190">
        <v>4452.66</v>
      </c>
      <c r="N84" s="191"/>
      <c r="O84" s="190">
        <v>0</v>
      </c>
      <c r="P84" s="191"/>
      <c r="Q84" s="190">
        <v>1422.3</v>
      </c>
      <c r="R84" s="191"/>
      <c r="S84" s="190">
        <v>99.43</v>
      </c>
      <c r="T84" s="191"/>
      <c r="U84" s="190">
        <v>932.1</v>
      </c>
      <c r="V84" s="191"/>
      <c r="W84" s="190">
        <v>0</v>
      </c>
      <c r="X84" s="191"/>
      <c r="Y84" s="190">
        <v>932.1</v>
      </c>
      <c r="Z84" s="191"/>
      <c r="AA84" s="190">
        <v>932.1</v>
      </c>
      <c r="AB84" s="191"/>
      <c r="AC84" s="190">
        <v>932.1</v>
      </c>
      <c r="AD84" s="191"/>
      <c r="AE84" s="190">
        <f t="shared" ref="AE84:AE98" si="4">ROUND(SUM(G84:AC84),5)</f>
        <v>10542.91</v>
      </c>
      <c r="AG84" s="199">
        <f>+AG82+AG83</f>
        <v>1248642.00667</v>
      </c>
    </row>
    <row r="85" spans="1:33">
      <c r="A85" s="189"/>
      <c r="B85" s="189"/>
      <c r="C85" s="189"/>
      <c r="D85" s="189"/>
      <c r="E85" s="189"/>
      <c r="F85" s="189" t="s">
        <v>235</v>
      </c>
      <c r="G85" s="190">
        <v>723.42</v>
      </c>
      <c r="H85" s="191"/>
      <c r="I85" s="190">
        <v>698.57</v>
      </c>
      <c r="J85" s="191"/>
      <c r="K85" s="190">
        <v>1636.75</v>
      </c>
      <c r="L85" s="191"/>
      <c r="M85" s="190">
        <v>1034.58</v>
      </c>
      <c r="N85" s="191"/>
      <c r="O85" s="190">
        <v>1566.81</v>
      </c>
      <c r="P85" s="191"/>
      <c r="Q85" s="190">
        <v>563.89</v>
      </c>
      <c r="R85" s="191"/>
      <c r="S85" s="190">
        <v>1229.51</v>
      </c>
      <c r="T85" s="191"/>
      <c r="U85" s="190">
        <v>1627.41</v>
      </c>
      <c r="V85" s="191"/>
      <c r="W85" s="190">
        <v>236.82</v>
      </c>
      <c r="X85" s="191"/>
      <c r="Y85" s="190">
        <v>1627.41</v>
      </c>
      <c r="Z85" s="191"/>
      <c r="AA85" s="190">
        <v>1627.41</v>
      </c>
      <c r="AB85" s="191"/>
      <c r="AC85" s="190">
        <v>1627.41</v>
      </c>
      <c r="AD85" s="191"/>
      <c r="AE85" s="190">
        <f t="shared" si="4"/>
        <v>14199.99</v>
      </c>
    </row>
    <row r="86" spans="1:33">
      <c r="A86" s="189"/>
      <c r="B86" s="189"/>
      <c r="C86" s="189"/>
      <c r="D86" s="189"/>
      <c r="E86" s="189"/>
      <c r="F86" s="189" t="s">
        <v>236</v>
      </c>
      <c r="G86" s="190">
        <v>474.11</v>
      </c>
      <c r="H86" s="191"/>
      <c r="I86" s="190">
        <v>658.59</v>
      </c>
      <c r="J86" s="191"/>
      <c r="K86" s="190">
        <v>1115.1199999999999</v>
      </c>
      <c r="L86" s="191"/>
      <c r="M86" s="190">
        <v>832.11</v>
      </c>
      <c r="N86" s="191"/>
      <c r="O86" s="190">
        <v>700.83</v>
      </c>
      <c r="P86" s="191"/>
      <c r="Q86" s="190">
        <v>245.95</v>
      </c>
      <c r="R86" s="191"/>
      <c r="S86" s="190">
        <v>1542.38</v>
      </c>
      <c r="T86" s="191"/>
      <c r="U86" s="190">
        <v>910.93</v>
      </c>
      <c r="V86" s="191"/>
      <c r="W86" s="190">
        <v>380.09</v>
      </c>
      <c r="X86" s="191"/>
      <c r="Y86" s="190">
        <v>910.93</v>
      </c>
      <c r="Z86" s="191"/>
      <c r="AA86" s="190">
        <v>910.93</v>
      </c>
      <c r="AB86" s="191"/>
      <c r="AC86" s="190">
        <v>910.93</v>
      </c>
      <c r="AD86" s="191"/>
      <c r="AE86" s="190">
        <f t="shared" si="4"/>
        <v>9592.9</v>
      </c>
    </row>
    <row r="87" spans="1:33">
      <c r="A87" s="189"/>
      <c r="B87" s="189"/>
      <c r="C87" s="189"/>
      <c r="D87" s="189"/>
      <c r="E87" s="189"/>
      <c r="F87" s="189" t="s">
        <v>237</v>
      </c>
      <c r="G87" s="190">
        <v>0</v>
      </c>
      <c r="H87" s="191"/>
      <c r="I87" s="190">
        <v>0</v>
      </c>
      <c r="J87" s="191"/>
      <c r="K87" s="190">
        <v>30750</v>
      </c>
      <c r="L87" s="191"/>
      <c r="M87" s="190">
        <v>0</v>
      </c>
      <c r="N87" s="191"/>
      <c r="O87" s="190">
        <v>0</v>
      </c>
      <c r="P87" s="191"/>
      <c r="Q87" s="190">
        <v>0</v>
      </c>
      <c r="R87" s="191"/>
      <c r="S87" s="190">
        <v>259.14999999999998</v>
      </c>
      <c r="T87" s="191"/>
      <c r="U87" s="190">
        <v>0</v>
      </c>
      <c r="V87" s="191"/>
      <c r="W87" s="190">
        <v>0</v>
      </c>
      <c r="X87" s="191"/>
      <c r="Y87" s="190">
        <v>0</v>
      </c>
      <c r="Z87" s="191"/>
      <c r="AA87" s="190">
        <v>0</v>
      </c>
      <c r="AB87" s="191"/>
      <c r="AC87" s="190">
        <v>0</v>
      </c>
      <c r="AD87" s="191"/>
      <c r="AE87" s="190">
        <f t="shared" si="4"/>
        <v>31009.15</v>
      </c>
    </row>
    <row r="88" spans="1:33">
      <c r="A88" s="189"/>
      <c r="B88" s="189"/>
      <c r="C88" s="189"/>
      <c r="D88" s="189"/>
      <c r="E88" s="189"/>
      <c r="F88" s="189" t="s">
        <v>238</v>
      </c>
      <c r="G88" s="190">
        <v>112.79</v>
      </c>
      <c r="H88" s="191"/>
      <c r="I88" s="190">
        <v>53.5</v>
      </c>
      <c r="J88" s="191"/>
      <c r="K88" s="190">
        <v>96.57</v>
      </c>
      <c r="L88" s="191"/>
      <c r="M88" s="190">
        <v>70.260000000000005</v>
      </c>
      <c r="N88" s="191"/>
      <c r="O88" s="190">
        <v>112.89</v>
      </c>
      <c r="P88" s="191"/>
      <c r="Q88" s="190">
        <v>64.2</v>
      </c>
      <c r="R88" s="191"/>
      <c r="S88" s="190">
        <v>64.2</v>
      </c>
      <c r="T88" s="191"/>
      <c r="U88" s="190">
        <v>64.2</v>
      </c>
      <c r="V88" s="191"/>
      <c r="W88" s="190">
        <v>-1089.5999999999999</v>
      </c>
      <c r="X88" s="191"/>
      <c r="Y88" s="190">
        <v>64.2</v>
      </c>
      <c r="Z88" s="191"/>
      <c r="AA88" s="190">
        <v>64.2</v>
      </c>
      <c r="AB88" s="191"/>
      <c r="AC88" s="190">
        <v>64.2</v>
      </c>
      <c r="AD88" s="191"/>
      <c r="AE88" s="190">
        <f t="shared" si="4"/>
        <v>-258.39</v>
      </c>
    </row>
    <row r="89" spans="1:33">
      <c r="A89" s="189"/>
      <c r="B89" s="189"/>
      <c r="C89" s="189"/>
      <c r="D89" s="189"/>
      <c r="E89" s="189"/>
      <c r="F89" s="189" t="s">
        <v>239</v>
      </c>
      <c r="G89" s="190">
        <v>314.14999999999998</v>
      </c>
      <c r="H89" s="191"/>
      <c r="I89" s="190">
        <v>55</v>
      </c>
      <c r="J89" s="191"/>
      <c r="K89" s="190">
        <v>55</v>
      </c>
      <c r="L89" s="191"/>
      <c r="M89" s="190">
        <v>55</v>
      </c>
      <c r="N89" s="191"/>
      <c r="O89" s="190">
        <v>50</v>
      </c>
      <c r="P89" s="191"/>
      <c r="Q89" s="190">
        <v>50</v>
      </c>
      <c r="R89" s="191"/>
      <c r="S89" s="190">
        <v>102.15</v>
      </c>
      <c r="T89" s="191"/>
      <c r="U89" s="190">
        <v>50</v>
      </c>
      <c r="V89" s="191"/>
      <c r="W89" s="190">
        <v>0</v>
      </c>
      <c r="X89" s="191"/>
      <c r="Y89" s="190">
        <v>50</v>
      </c>
      <c r="Z89" s="191"/>
      <c r="AA89" s="190">
        <v>50</v>
      </c>
      <c r="AB89" s="191"/>
      <c r="AC89" s="190">
        <v>50</v>
      </c>
      <c r="AD89" s="191"/>
      <c r="AE89" s="190">
        <f t="shared" si="4"/>
        <v>881.3</v>
      </c>
    </row>
    <row r="90" spans="1:33">
      <c r="A90" s="189"/>
      <c r="B90" s="189"/>
      <c r="C90" s="189"/>
      <c r="D90" s="189"/>
      <c r="E90" s="189"/>
      <c r="F90" s="189" t="s">
        <v>240</v>
      </c>
      <c r="G90" s="190">
        <v>0</v>
      </c>
      <c r="H90" s="191"/>
      <c r="I90" s="190">
        <v>57.95</v>
      </c>
      <c r="J90" s="191"/>
      <c r="K90" s="190">
        <v>0</v>
      </c>
      <c r="L90" s="191"/>
      <c r="M90" s="190">
        <v>0</v>
      </c>
      <c r="N90" s="191"/>
      <c r="O90" s="190">
        <v>0</v>
      </c>
      <c r="P90" s="191"/>
      <c r="Q90" s="190">
        <v>199.74</v>
      </c>
      <c r="R90" s="191"/>
      <c r="S90" s="190">
        <v>32.82</v>
      </c>
      <c r="T90" s="191"/>
      <c r="U90" s="190">
        <v>0</v>
      </c>
      <c r="V90" s="191"/>
      <c r="W90" s="190">
        <v>0</v>
      </c>
      <c r="X90" s="191"/>
      <c r="Y90" s="190">
        <v>0</v>
      </c>
      <c r="Z90" s="191"/>
      <c r="AA90" s="190">
        <v>0</v>
      </c>
      <c r="AB90" s="191"/>
      <c r="AC90" s="190">
        <v>0</v>
      </c>
      <c r="AD90" s="191"/>
      <c r="AE90" s="190">
        <f t="shared" si="4"/>
        <v>290.51</v>
      </c>
    </row>
    <row r="91" spans="1:33">
      <c r="A91" s="189"/>
      <c r="B91" s="189"/>
      <c r="C91" s="189"/>
      <c r="D91" s="189"/>
      <c r="E91" s="189"/>
      <c r="F91" s="189" t="s">
        <v>241</v>
      </c>
      <c r="G91" s="190">
        <v>0</v>
      </c>
      <c r="H91" s="191"/>
      <c r="I91" s="190">
        <v>95.63</v>
      </c>
      <c r="J91" s="191"/>
      <c r="K91" s="190">
        <v>0</v>
      </c>
      <c r="L91" s="191"/>
      <c r="M91" s="190">
        <v>0</v>
      </c>
      <c r="N91" s="191"/>
      <c r="O91" s="190">
        <v>0</v>
      </c>
      <c r="P91" s="191"/>
      <c r="Q91" s="190">
        <v>0</v>
      </c>
      <c r="R91" s="191"/>
      <c r="S91" s="190">
        <v>0</v>
      </c>
      <c r="T91" s="191"/>
      <c r="U91" s="190">
        <v>0</v>
      </c>
      <c r="V91" s="191"/>
      <c r="W91" s="190">
        <v>0</v>
      </c>
      <c r="X91" s="191"/>
      <c r="Y91" s="190">
        <v>0</v>
      </c>
      <c r="Z91" s="191"/>
      <c r="AA91" s="190">
        <v>0</v>
      </c>
      <c r="AB91" s="191"/>
      <c r="AC91" s="190">
        <v>0</v>
      </c>
      <c r="AD91" s="191"/>
      <c r="AE91" s="190">
        <f t="shared" si="4"/>
        <v>95.63</v>
      </c>
    </row>
    <row r="92" spans="1:33">
      <c r="A92" s="189"/>
      <c r="B92" s="189"/>
      <c r="C92" s="189"/>
      <c r="D92" s="189"/>
      <c r="E92" s="189"/>
      <c r="F92" s="189" t="s">
        <v>242</v>
      </c>
      <c r="G92" s="190">
        <v>413.91</v>
      </c>
      <c r="H92" s="191"/>
      <c r="I92" s="190">
        <v>1160.8900000000001</v>
      </c>
      <c r="J92" s="191"/>
      <c r="K92" s="190">
        <v>332.16</v>
      </c>
      <c r="L92" s="191"/>
      <c r="M92" s="190">
        <v>415.2</v>
      </c>
      <c r="N92" s="191"/>
      <c r="O92" s="190">
        <v>871.7</v>
      </c>
      <c r="P92" s="191"/>
      <c r="Q92" s="190">
        <v>260.19</v>
      </c>
      <c r="R92" s="191"/>
      <c r="S92" s="190">
        <v>1085.0999999999999</v>
      </c>
      <c r="T92" s="191"/>
      <c r="U92" s="190">
        <v>454.39</v>
      </c>
      <c r="V92" s="191"/>
      <c r="W92" s="190">
        <v>508</v>
      </c>
      <c r="X92" s="191"/>
      <c r="Y92" s="190">
        <v>454.39</v>
      </c>
      <c r="Z92" s="191"/>
      <c r="AA92" s="190">
        <v>454.39</v>
      </c>
      <c r="AB92" s="191"/>
      <c r="AC92" s="190">
        <v>454.39</v>
      </c>
      <c r="AD92" s="191"/>
      <c r="AE92" s="190">
        <f t="shared" si="4"/>
        <v>6864.71</v>
      </c>
    </row>
    <row r="93" spans="1:33">
      <c r="A93" s="189"/>
      <c r="B93" s="189"/>
      <c r="C93" s="189"/>
      <c r="D93" s="189"/>
      <c r="E93" s="189"/>
      <c r="F93" s="189" t="s">
        <v>243</v>
      </c>
      <c r="G93" s="190">
        <v>0</v>
      </c>
      <c r="H93" s="191"/>
      <c r="I93" s="190">
        <v>0</v>
      </c>
      <c r="J93" s="191"/>
      <c r="K93" s="190">
        <v>0</v>
      </c>
      <c r="L93" s="191"/>
      <c r="M93" s="190">
        <v>0</v>
      </c>
      <c r="N93" s="191"/>
      <c r="O93" s="190">
        <v>0</v>
      </c>
      <c r="P93" s="191"/>
      <c r="Q93" s="190">
        <v>59.39</v>
      </c>
      <c r="R93" s="191"/>
      <c r="S93" s="190">
        <v>0</v>
      </c>
      <c r="T93" s="191"/>
      <c r="U93" s="190">
        <v>63.69</v>
      </c>
      <c r="V93" s="191"/>
      <c r="W93" s="190">
        <v>0</v>
      </c>
      <c r="X93" s="191"/>
      <c r="Y93" s="190">
        <v>63.69</v>
      </c>
      <c r="Z93" s="191"/>
      <c r="AA93" s="190">
        <v>63.69</v>
      </c>
      <c r="AB93" s="191"/>
      <c r="AC93" s="190">
        <v>63.69</v>
      </c>
      <c r="AD93" s="191"/>
      <c r="AE93" s="190">
        <f t="shared" si="4"/>
        <v>314.14999999999998</v>
      </c>
    </row>
    <row r="94" spans="1:33">
      <c r="A94" s="189"/>
      <c r="B94" s="189"/>
      <c r="C94" s="189"/>
      <c r="D94" s="189"/>
      <c r="E94" s="189"/>
      <c r="F94" s="189" t="s">
        <v>244</v>
      </c>
      <c r="G94" s="190">
        <v>0</v>
      </c>
      <c r="H94" s="191"/>
      <c r="I94" s="190">
        <v>0</v>
      </c>
      <c r="J94" s="191"/>
      <c r="K94" s="190">
        <v>0</v>
      </c>
      <c r="L94" s="191"/>
      <c r="M94" s="190">
        <v>0</v>
      </c>
      <c r="N94" s="191"/>
      <c r="O94" s="190">
        <v>0</v>
      </c>
      <c r="P94" s="191"/>
      <c r="Q94" s="190">
        <v>0</v>
      </c>
      <c r="R94" s="191"/>
      <c r="S94" s="190">
        <v>0</v>
      </c>
      <c r="T94" s="191"/>
      <c r="U94" s="190">
        <v>50</v>
      </c>
      <c r="V94" s="191"/>
      <c r="W94" s="190">
        <v>0</v>
      </c>
      <c r="X94" s="191"/>
      <c r="Y94" s="190">
        <v>50</v>
      </c>
      <c r="Z94" s="191"/>
      <c r="AA94" s="190">
        <v>50</v>
      </c>
      <c r="AB94" s="191"/>
      <c r="AC94" s="190">
        <v>50</v>
      </c>
      <c r="AD94" s="191"/>
      <c r="AE94" s="190">
        <f t="shared" si="4"/>
        <v>200</v>
      </c>
    </row>
    <row r="95" spans="1:33">
      <c r="A95" s="189"/>
      <c r="B95" s="189"/>
      <c r="C95" s="189"/>
      <c r="D95" s="189"/>
      <c r="E95" s="189"/>
      <c r="F95" s="189" t="s">
        <v>245</v>
      </c>
      <c r="G95" s="190">
        <v>0</v>
      </c>
      <c r="H95" s="191"/>
      <c r="I95" s="190">
        <v>0</v>
      </c>
      <c r="J95" s="191"/>
      <c r="K95" s="190">
        <v>0</v>
      </c>
      <c r="L95" s="191"/>
      <c r="M95" s="190">
        <v>0</v>
      </c>
      <c r="N95" s="191"/>
      <c r="O95" s="190">
        <v>0</v>
      </c>
      <c r="P95" s="191"/>
      <c r="Q95" s="190">
        <v>13.5</v>
      </c>
      <c r="R95" s="191"/>
      <c r="S95" s="190">
        <v>0</v>
      </c>
      <c r="T95" s="191"/>
      <c r="U95" s="190">
        <v>0</v>
      </c>
      <c r="V95" s="191"/>
      <c r="W95" s="190">
        <v>0</v>
      </c>
      <c r="X95" s="191"/>
      <c r="Y95" s="190">
        <v>0</v>
      </c>
      <c r="Z95" s="191"/>
      <c r="AA95" s="190">
        <v>0</v>
      </c>
      <c r="AB95" s="191"/>
      <c r="AC95" s="190">
        <v>0</v>
      </c>
      <c r="AD95" s="191"/>
      <c r="AE95" s="190">
        <f t="shared" si="4"/>
        <v>13.5</v>
      </c>
    </row>
    <row r="96" spans="1:33">
      <c r="A96" s="189"/>
      <c r="B96" s="189"/>
      <c r="C96" s="189"/>
      <c r="D96" s="189"/>
      <c r="E96" s="189"/>
      <c r="F96" s="189" t="s">
        <v>246</v>
      </c>
      <c r="G96" s="190">
        <v>913.13</v>
      </c>
      <c r="H96" s="191"/>
      <c r="I96" s="190">
        <v>12</v>
      </c>
      <c r="J96" s="191"/>
      <c r="K96" s="190">
        <v>0</v>
      </c>
      <c r="L96" s="191"/>
      <c r="M96" s="190">
        <v>0</v>
      </c>
      <c r="N96" s="191"/>
      <c r="O96" s="190">
        <v>0</v>
      </c>
      <c r="P96" s="191"/>
      <c r="Q96" s="190">
        <v>0</v>
      </c>
      <c r="R96" s="191"/>
      <c r="S96" s="190">
        <v>0</v>
      </c>
      <c r="T96" s="191"/>
      <c r="U96" s="190">
        <v>21.59</v>
      </c>
      <c r="V96" s="191"/>
      <c r="W96" s="190">
        <v>0</v>
      </c>
      <c r="X96" s="191"/>
      <c r="Y96" s="190">
        <v>21.59</v>
      </c>
      <c r="Z96" s="191"/>
      <c r="AA96" s="190">
        <v>21.59</v>
      </c>
      <c r="AB96" s="191"/>
      <c r="AC96" s="190">
        <v>21.59</v>
      </c>
      <c r="AD96" s="191"/>
      <c r="AE96" s="190">
        <f t="shared" si="4"/>
        <v>1011.49</v>
      </c>
    </row>
    <row r="97" spans="1:31" ht="14.45" thickBot="1">
      <c r="A97" s="189"/>
      <c r="B97" s="189"/>
      <c r="C97" s="189"/>
      <c r="D97" s="189"/>
      <c r="E97" s="189"/>
      <c r="F97" s="189" t="s">
        <v>247</v>
      </c>
      <c r="G97" s="193">
        <v>905</v>
      </c>
      <c r="H97" s="191"/>
      <c r="I97" s="193">
        <v>0</v>
      </c>
      <c r="J97" s="191"/>
      <c r="K97" s="193">
        <v>210.16</v>
      </c>
      <c r="L97" s="191"/>
      <c r="M97" s="193">
        <v>64.42</v>
      </c>
      <c r="N97" s="191"/>
      <c r="O97" s="193">
        <v>194.44</v>
      </c>
      <c r="P97" s="191"/>
      <c r="Q97" s="193">
        <v>94.89</v>
      </c>
      <c r="R97" s="191"/>
      <c r="S97" s="193">
        <v>0</v>
      </c>
      <c r="T97" s="191"/>
      <c r="U97" s="193">
        <v>129.35</v>
      </c>
      <c r="V97" s="191"/>
      <c r="W97" s="193">
        <v>0</v>
      </c>
      <c r="X97" s="191"/>
      <c r="Y97" s="193">
        <v>129.35</v>
      </c>
      <c r="Z97" s="191"/>
      <c r="AA97" s="193">
        <v>129.35</v>
      </c>
      <c r="AB97" s="191"/>
      <c r="AC97" s="193">
        <v>129.35</v>
      </c>
      <c r="AD97" s="191"/>
      <c r="AE97" s="193">
        <f t="shared" si="4"/>
        <v>1986.31</v>
      </c>
    </row>
    <row r="98" spans="1:31">
      <c r="A98" s="189"/>
      <c r="B98" s="189"/>
      <c r="C98" s="189"/>
      <c r="D98" s="189"/>
      <c r="E98" s="189" t="s">
        <v>248</v>
      </c>
      <c r="F98" s="189"/>
      <c r="G98" s="190">
        <f>ROUND(SUM(G83:G97),5)</f>
        <v>3856.51</v>
      </c>
      <c r="H98" s="191"/>
      <c r="I98" s="190">
        <f>ROUND(SUM(I83:I97),5)</f>
        <v>3428.83</v>
      </c>
      <c r="J98" s="191"/>
      <c r="K98" s="190">
        <f>ROUND(SUM(K83:K97),5)</f>
        <v>34399.18</v>
      </c>
      <c r="L98" s="191"/>
      <c r="M98" s="190">
        <f>ROUND(SUM(M83:M97),5)</f>
        <v>6924.23</v>
      </c>
      <c r="N98" s="191"/>
      <c r="O98" s="190">
        <f>ROUND(SUM(O83:O97),5)</f>
        <v>3496.67</v>
      </c>
      <c r="P98" s="191"/>
      <c r="Q98" s="190">
        <f>ROUND(SUM(Q83:Q97),5)</f>
        <v>2974.05</v>
      </c>
      <c r="R98" s="191"/>
      <c r="S98" s="190">
        <f>ROUND(SUM(S83:S97),5)</f>
        <v>4414.74</v>
      </c>
      <c r="T98" s="191"/>
      <c r="U98" s="190">
        <f>ROUND(SUM(U83:U97),5)</f>
        <v>4303.66</v>
      </c>
      <c r="V98" s="191"/>
      <c r="W98" s="190">
        <f>ROUND(SUM(W83:W97),5)</f>
        <v>35.31</v>
      </c>
      <c r="X98" s="191"/>
      <c r="Y98" s="190">
        <f>ROUND(SUM(Y83:Y97),5)</f>
        <v>4303.66</v>
      </c>
      <c r="Z98" s="191"/>
      <c r="AA98" s="190">
        <f>ROUND(SUM(AA83:AA97),5)</f>
        <v>4303.66</v>
      </c>
      <c r="AB98" s="191"/>
      <c r="AC98" s="190">
        <f>ROUND(SUM(AC83:AC97),5)</f>
        <v>4303.66</v>
      </c>
      <c r="AD98" s="191"/>
      <c r="AE98" s="190">
        <f t="shared" si="4"/>
        <v>76744.160000000003</v>
      </c>
    </row>
    <row r="99" spans="1:31">
      <c r="A99" s="189"/>
      <c r="B99" s="189"/>
      <c r="C99" s="189"/>
      <c r="D99" s="189"/>
      <c r="E99" s="189" t="s">
        <v>249</v>
      </c>
      <c r="F99" s="189"/>
      <c r="G99" s="190"/>
      <c r="H99" s="191"/>
      <c r="I99" s="190"/>
      <c r="J99" s="191"/>
      <c r="K99" s="190"/>
      <c r="L99" s="191"/>
      <c r="M99" s="190"/>
      <c r="N99" s="191"/>
      <c r="O99" s="190"/>
      <c r="P99" s="191"/>
      <c r="Q99" s="190"/>
      <c r="R99" s="191"/>
      <c r="S99" s="190"/>
      <c r="T99" s="191"/>
      <c r="U99" s="190"/>
      <c r="V99" s="191"/>
      <c r="W99" s="190"/>
      <c r="X99" s="191"/>
      <c r="Y99" s="190"/>
      <c r="Z99" s="191"/>
      <c r="AA99" s="190"/>
      <c r="AB99" s="191"/>
      <c r="AC99" s="190"/>
      <c r="AD99" s="191"/>
      <c r="AE99" s="190"/>
    </row>
    <row r="100" spans="1:31" ht="14.45" thickBot="1">
      <c r="A100" s="189"/>
      <c r="B100" s="189"/>
      <c r="C100" s="189"/>
      <c r="D100" s="189"/>
      <c r="E100" s="189"/>
      <c r="F100" s="189" t="s">
        <v>250</v>
      </c>
      <c r="G100" s="193">
        <v>0</v>
      </c>
      <c r="H100" s="191"/>
      <c r="I100" s="193">
        <v>0</v>
      </c>
      <c r="J100" s="191"/>
      <c r="K100" s="193">
        <v>0</v>
      </c>
      <c r="L100" s="191"/>
      <c r="M100" s="193">
        <v>0</v>
      </c>
      <c r="N100" s="191"/>
      <c r="O100" s="193">
        <v>0</v>
      </c>
      <c r="P100" s="191"/>
      <c r="Q100" s="193">
        <v>0</v>
      </c>
      <c r="R100" s="191"/>
      <c r="S100" s="193">
        <v>45000</v>
      </c>
      <c r="T100" s="191"/>
      <c r="U100" s="193">
        <v>0</v>
      </c>
      <c r="V100" s="191"/>
      <c r="W100" s="193">
        <v>0</v>
      </c>
      <c r="X100" s="191"/>
      <c r="Y100" s="193">
        <v>0</v>
      </c>
      <c r="Z100" s="191"/>
      <c r="AA100" s="193">
        <v>0</v>
      </c>
      <c r="AB100" s="191"/>
      <c r="AC100" s="193">
        <v>325000</v>
      </c>
      <c r="AD100" s="191"/>
      <c r="AE100" s="193">
        <f>ROUND(SUM(G100:AC100),5)</f>
        <v>370000</v>
      </c>
    </row>
    <row r="101" spans="1:31">
      <c r="A101" s="189"/>
      <c r="B101" s="189"/>
      <c r="C101" s="189"/>
      <c r="D101" s="189"/>
      <c r="E101" s="189" t="s">
        <v>251</v>
      </c>
      <c r="F101" s="189"/>
      <c r="G101" s="190">
        <f>ROUND(SUM(G99:G100),5)</f>
        <v>0</v>
      </c>
      <c r="H101" s="191"/>
      <c r="I101" s="190">
        <f>ROUND(SUM(I99:I100),5)</f>
        <v>0</v>
      </c>
      <c r="J101" s="191"/>
      <c r="K101" s="190">
        <f>ROUND(SUM(K99:K100),5)</f>
        <v>0</v>
      </c>
      <c r="L101" s="191"/>
      <c r="M101" s="190">
        <f>ROUND(SUM(M99:M100),5)</f>
        <v>0</v>
      </c>
      <c r="N101" s="191"/>
      <c r="O101" s="190">
        <f>ROUND(SUM(O99:O100),5)</f>
        <v>0</v>
      </c>
      <c r="P101" s="191"/>
      <c r="Q101" s="190">
        <f>ROUND(SUM(Q99:Q100),5)</f>
        <v>0</v>
      </c>
      <c r="R101" s="191"/>
      <c r="S101" s="190">
        <f>ROUND(SUM(S99:S100),5)</f>
        <v>45000</v>
      </c>
      <c r="T101" s="191"/>
      <c r="U101" s="190">
        <f>ROUND(SUM(U99:U100),5)</f>
        <v>0</v>
      </c>
      <c r="V101" s="191"/>
      <c r="W101" s="190">
        <f>ROUND(SUM(W99:W100),5)</f>
        <v>0</v>
      </c>
      <c r="X101" s="191"/>
      <c r="Y101" s="190">
        <f>ROUND(SUM(Y99:Y100),5)</f>
        <v>0</v>
      </c>
      <c r="Z101" s="191"/>
      <c r="AA101" s="190">
        <f>ROUND(SUM(AA99:AA100),5)</f>
        <v>0</v>
      </c>
      <c r="AB101" s="191"/>
      <c r="AC101" s="190">
        <f>ROUND(SUM(AC99:AC100),5)</f>
        <v>325000</v>
      </c>
      <c r="AD101" s="191"/>
      <c r="AE101" s="190">
        <f>ROUND(SUM(G101:AC101),5)</f>
        <v>370000</v>
      </c>
    </row>
    <row r="102" spans="1:31">
      <c r="A102" s="189"/>
      <c r="B102" s="189"/>
      <c r="C102" s="189"/>
      <c r="D102" s="189"/>
      <c r="E102" s="189" t="s">
        <v>252</v>
      </c>
      <c r="F102" s="189"/>
      <c r="G102" s="190"/>
      <c r="H102" s="191"/>
      <c r="I102" s="190"/>
      <c r="J102" s="191"/>
      <c r="K102" s="190"/>
      <c r="L102" s="191"/>
      <c r="M102" s="190"/>
      <c r="N102" s="191"/>
      <c r="O102" s="190"/>
      <c r="P102" s="191"/>
      <c r="Q102" s="190"/>
      <c r="R102" s="191"/>
      <c r="S102" s="190"/>
      <c r="T102" s="191"/>
      <c r="U102" s="190"/>
      <c r="V102" s="191"/>
      <c r="W102" s="190"/>
      <c r="X102" s="191"/>
      <c r="Y102" s="190"/>
      <c r="Z102" s="191"/>
      <c r="AA102" s="190"/>
      <c r="AB102" s="191"/>
      <c r="AC102" s="190"/>
      <c r="AD102" s="191"/>
      <c r="AE102" s="190"/>
    </row>
    <row r="103" spans="1:31">
      <c r="A103" s="189"/>
      <c r="B103" s="189"/>
      <c r="C103" s="189"/>
      <c r="D103" s="189"/>
      <c r="E103" s="189"/>
      <c r="F103" s="189" t="s">
        <v>253</v>
      </c>
      <c r="G103" s="190">
        <v>-22029.5</v>
      </c>
      <c r="H103" s="191"/>
      <c r="I103" s="190">
        <v>0</v>
      </c>
      <c r="J103" s="191"/>
      <c r="K103" s="190">
        <v>0</v>
      </c>
      <c r="L103" s="191"/>
      <c r="M103" s="190">
        <v>0</v>
      </c>
      <c r="N103" s="191"/>
      <c r="O103" s="190">
        <v>0</v>
      </c>
      <c r="P103" s="191"/>
      <c r="Q103" s="190">
        <v>0</v>
      </c>
      <c r="R103" s="191"/>
      <c r="S103" s="190">
        <v>0</v>
      </c>
      <c r="T103" s="191"/>
      <c r="U103" s="190">
        <v>0</v>
      </c>
      <c r="V103" s="191"/>
      <c r="W103" s="190">
        <v>0</v>
      </c>
      <c r="X103" s="191"/>
      <c r="Y103" s="190">
        <v>0</v>
      </c>
      <c r="Z103" s="191"/>
      <c r="AA103" s="190">
        <v>0</v>
      </c>
      <c r="AB103" s="191"/>
      <c r="AC103" s="190">
        <v>0</v>
      </c>
      <c r="AD103" s="191"/>
      <c r="AE103" s="190">
        <f t="shared" ref="AE103:AE114" si="5">ROUND(SUM(G103:AC103),5)</f>
        <v>-22029.5</v>
      </c>
    </row>
    <row r="104" spans="1:31">
      <c r="A104" s="189"/>
      <c r="B104" s="189"/>
      <c r="C104" s="189"/>
      <c r="D104" s="189"/>
      <c r="E104" s="189"/>
      <c r="F104" s="189" t="s">
        <v>254</v>
      </c>
      <c r="G104" s="190">
        <v>0</v>
      </c>
      <c r="H104" s="191"/>
      <c r="I104" s="190">
        <v>801.26</v>
      </c>
      <c r="J104" s="191"/>
      <c r="K104" s="190">
        <v>146.52000000000001</v>
      </c>
      <c r="L104" s="191"/>
      <c r="M104" s="190">
        <v>0</v>
      </c>
      <c r="N104" s="191"/>
      <c r="O104" s="190">
        <v>0</v>
      </c>
      <c r="P104" s="191"/>
      <c r="Q104" s="190">
        <v>0</v>
      </c>
      <c r="R104" s="191"/>
      <c r="S104" s="190">
        <v>0</v>
      </c>
      <c r="T104" s="191"/>
      <c r="U104" s="190">
        <v>142</v>
      </c>
      <c r="V104" s="191"/>
      <c r="W104" s="190">
        <v>479</v>
      </c>
      <c r="X104" s="191"/>
      <c r="Y104" s="190">
        <v>0</v>
      </c>
      <c r="Z104" s="191"/>
      <c r="AA104" s="190">
        <v>0</v>
      </c>
      <c r="AB104" s="191"/>
      <c r="AC104" s="190">
        <v>0</v>
      </c>
      <c r="AD104" s="191"/>
      <c r="AE104" s="190">
        <f t="shared" si="5"/>
        <v>1568.78</v>
      </c>
    </row>
    <row r="105" spans="1:31">
      <c r="A105" s="189"/>
      <c r="B105" s="189"/>
      <c r="C105" s="189"/>
      <c r="D105" s="189"/>
      <c r="E105" s="189"/>
      <c r="F105" s="189" t="s">
        <v>255</v>
      </c>
      <c r="G105" s="190">
        <v>0</v>
      </c>
      <c r="H105" s="191"/>
      <c r="I105" s="190">
        <v>0</v>
      </c>
      <c r="J105" s="191"/>
      <c r="K105" s="190">
        <v>0</v>
      </c>
      <c r="L105" s="191"/>
      <c r="M105" s="190">
        <v>0</v>
      </c>
      <c r="N105" s="191"/>
      <c r="O105" s="190">
        <v>0</v>
      </c>
      <c r="P105" s="191"/>
      <c r="Q105" s="190">
        <v>0</v>
      </c>
      <c r="R105" s="191"/>
      <c r="S105" s="190">
        <v>0</v>
      </c>
      <c r="T105" s="191"/>
      <c r="U105" s="190">
        <v>350</v>
      </c>
      <c r="V105" s="191"/>
      <c r="W105" s="190">
        <v>0</v>
      </c>
      <c r="X105" s="191"/>
      <c r="Y105" s="190">
        <v>0</v>
      </c>
      <c r="Z105" s="191"/>
      <c r="AA105" s="190">
        <v>0</v>
      </c>
      <c r="AB105" s="191"/>
      <c r="AC105" s="190">
        <v>0</v>
      </c>
      <c r="AD105" s="191"/>
      <c r="AE105" s="190">
        <f t="shared" si="5"/>
        <v>350</v>
      </c>
    </row>
    <row r="106" spans="1:31">
      <c r="A106" s="189"/>
      <c r="B106" s="189"/>
      <c r="C106" s="189"/>
      <c r="D106" s="189"/>
      <c r="E106" s="189"/>
      <c r="F106" s="189" t="s">
        <v>256</v>
      </c>
      <c r="G106" s="190">
        <v>110.47</v>
      </c>
      <c r="H106" s="191"/>
      <c r="I106" s="190">
        <v>73.010000000000005</v>
      </c>
      <c r="J106" s="191"/>
      <c r="K106" s="190">
        <v>96.3</v>
      </c>
      <c r="L106" s="191"/>
      <c r="M106" s="190">
        <v>95.02</v>
      </c>
      <c r="N106" s="191"/>
      <c r="O106" s="190">
        <v>135.31</v>
      </c>
      <c r="P106" s="191"/>
      <c r="Q106" s="190">
        <v>65.010000000000005</v>
      </c>
      <c r="R106" s="191"/>
      <c r="S106" s="190">
        <v>130.80000000000001</v>
      </c>
      <c r="T106" s="191"/>
      <c r="U106" s="190">
        <v>100.19</v>
      </c>
      <c r="V106" s="191"/>
      <c r="W106" s="190">
        <v>41.58</v>
      </c>
      <c r="X106" s="191"/>
      <c r="Y106" s="190">
        <v>100.19</v>
      </c>
      <c r="Z106" s="191"/>
      <c r="AA106" s="190">
        <v>100.19</v>
      </c>
      <c r="AB106" s="191"/>
      <c r="AC106" s="190">
        <v>100.19</v>
      </c>
      <c r="AD106" s="191"/>
      <c r="AE106" s="190">
        <f t="shared" si="5"/>
        <v>1148.26</v>
      </c>
    </row>
    <row r="107" spans="1:31">
      <c r="A107" s="189"/>
      <c r="B107" s="189"/>
      <c r="C107" s="189"/>
      <c r="D107" s="189"/>
      <c r="E107" s="189"/>
      <c r="F107" s="189" t="s">
        <v>257</v>
      </c>
      <c r="G107" s="190">
        <v>0</v>
      </c>
      <c r="H107" s="191"/>
      <c r="I107" s="190">
        <v>39.5</v>
      </c>
      <c r="J107" s="191"/>
      <c r="K107" s="190">
        <v>0</v>
      </c>
      <c r="L107" s="191"/>
      <c r="M107" s="190">
        <v>0</v>
      </c>
      <c r="N107" s="191"/>
      <c r="O107" s="190">
        <v>245</v>
      </c>
      <c r="P107" s="191"/>
      <c r="Q107" s="190">
        <v>674.5</v>
      </c>
      <c r="R107" s="191"/>
      <c r="S107" s="190">
        <v>874.16</v>
      </c>
      <c r="T107" s="191"/>
      <c r="U107" s="190">
        <v>0</v>
      </c>
      <c r="V107" s="191"/>
      <c r="W107" s="190">
        <v>2034.94</v>
      </c>
      <c r="X107" s="191"/>
      <c r="Y107" s="190">
        <v>0</v>
      </c>
      <c r="Z107" s="191"/>
      <c r="AA107" s="190">
        <v>0</v>
      </c>
      <c r="AB107" s="191"/>
      <c r="AC107" s="190">
        <v>0</v>
      </c>
      <c r="AD107" s="191"/>
      <c r="AE107" s="190">
        <f t="shared" si="5"/>
        <v>3868.1</v>
      </c>
    </row>
    <row r="108" spans="1:31">
      <c r="A108" s="189"/>
      <c r="B108" s="189"/>
      <c r="C108" s="189"/>
      <c r="D108" s="189"/>
      <c r="E108" s="189"/>
      <c r="F108" s="189" t="s">
        <v>258</v>
      </c>
      <c r="G108" s="190">
        <v>4941</v>
      </c>
      <c r="H108" s="191"/>
      <c r="I108" s="190">
        <v>0</v>
      </c>
      <c r="J108" s="191"/>
      <c r="K108" s="190">
        <v>10554</v>
      </c>
      <c r="L108" s="191"/>
      <c r="M108" s="190">
        <v>0</v>
      </c>
      <c r="N108" s="191"/>
      <c r="O108" s="190">
        <v>0</v>
      </c>
      <c r="P108" s="191"/>
      <c r="Q108" s="190">
        <v>4937</v>
      </c>
      <c r="R108" s="191"/>
      <c r="S108" s="190">
        <v>0</v>
      </c>
      <c r="T108" s="191"/>
      <c r="U108" s="190">
        <v>0</v>
      </c>
      <c r="V108" s="191"/>
      <c r="W108" s="190">
        <v>4937</v>
      </c>
      <c r="X108" s="191"/>
      <c r="Y108" s="190">
        <v>0</v>
      </c>
      <c r="Z108" s="191"/>
      <c r="AA108" s="190">
        <v>0</v>
      </c>
      <c r="AB108" s="191"/>
      <c r="AC108" s="190">
        <v>0</v>
      </c>
      <c r="AD108" s="191"/>
      <c r="AE108" s="190">
        <f t="shared" si="5"/>
        <v>25369</v>
      </c>
    </row>
    <row r="109" spans="1:31">
      <c r="A109" s="189"/>
      <c r="B109" s="189"/>
      <c r="C109" s="189"/>
      <c r="D109" s="189"/>
      <c r="E109" s="189"/>
      <c r="F109" s="189" t="s">
        <v>259</v>
      </c>
      <c r="G109" s="190">
        <v>257</v>
      </c>
      <c r="H109" s="191"/>
      <c r="I109" s="190">
        <v>0</v>
      </c>
      <c r="J109" s="191"/>
      <c r="K109" s="190">
        <v>0</v>
      </c>
      <c r="L109" s="191"/>
      <c r="M109" s="190">
        <v>0</v>
      </c>
      <c r="N109" s="191"/>
      <c r="O109" s="190">
        <v>0</v>
      </c>
      <c r="P109" s="191"/>
      <c r="Q109" s="190">
        <v>0</v>
      </c>
      <c r="R109" s="191"/>
      <c r="S109" s="190">
        <v>0</v>
      </c>
      <c r="T109" s="191"/>
      <c r="U109" s="190">
        <v>0</v>
      </c>
      <c r="V109" s="191"/>
      <c r="W109" s="190">
        <v>0</v>
      </c>
      <c r="X109" s="191"/>
      <c r="Y109" s="190">
        <v>0</v>
      </c>
      <c r="Z109" s="191"/>
      <c r="AA109" s="190">
        <v>0</v>
      </c>
      <c r="AB109" s="191"/>
      <c r="AC109" s="190">
        <v>0</v>
      </c>
      <c r="AD109" s="191"/>
      <c r="AE109" s="190">
        <f t="shared" si="5"/>
        <v>257</v>
      </c>
    </row>
    <row r="110" spans="1:31" ht="14.45" thickBot="1">
      <c r="A110" s="189"/>
      <c r="B110" s="189"/>
      <c r="C110" s="189"/>
      <c r="D110" s="189"/>
      <c r="E110" s="189"/>
      <c r="F110" s="189" t="s">
        <v>260</v>
      </c>
      <c r="G110" s="190">
        <v>415.78</v>
      </c>
      <c r="H110" s="191"/>
      <c r="I110" s="190">
        <v>415.78</v>
      </c>
      <c r="J110" s="191"/>
      <c r="K110" s="190">
        <v>415.78</v>
      </c>
      <c r="L110" s="191"/>
      <c r="M110" s="190">
        <v>415.78</v>
      </c>
      <c r="N110" s="191"/>
      <c r="O110" s="190">
        <v>415.78</v>
      </c>
      <c r="P110" s="191"/>
      <c r="Q110" s="190">
        <v>415.78</v>
      </c>
      <c r="R110" s="191"/>
      <c r="S110" s="190">
        <v>415.78</v>
      </c>
      <c r="T110" s="191"/>
      <c r="U110" s="190">
        <v>415.78</v>
      </c>
      <c r="V110" s="191"/>
      <c r="W110" s="190">
        <v>415.78</v>
      </c>
      <c r="X110" s="191"/>
      <c r="Y110" s="190">
        <v>415.78</v>
      </c>
      <c r="Z110" s="191"/>
      <c r="AA110" s="190">
        <v>415.78</v>
      </c>
      <c r="AB110" s="191"/>
      <c r="AC110" s="190">
        <v>415.78</v>
      </c>
      <c r="AD110" s="191"/>
      <c r="AE110" s="190">
        <f t="shared" si="5"/>
        <v>4989.3599999999997</v>
      </c>
    </row>
    <row r="111" spans="1:31" ht="14.45" thickBot="1">
      <c r="A111" s="189"/>
      <c r="B111" s="189"/>
      <c r="C111" s="189"/>
      <c r="D111" s="189"/>
      <c r="E111" s="189" t="s">
        <v>261</v>
      </c>
      <c r="F111" s="189"/>
      <c r="G111" s="195">
        <f>ROUND(SUM(G102:G110),5)</f>
        <v>-16305.25</v>
      </c>
      <c r="H111" s="191"/>
      <c r="I111" s="195">
        <f>ROUND(SUM(I102:I110),5)</f>
        <v>1329.55</v>
      </c>
      <c r="J111" s="191"/>
      <c r="K111" s="195">
        <f>ROUND(SUM(K102:K110),5)</f>
        <v>11212.6</v>
      </c>
      <c r="L111" s="191"/>
      <c r="M111" s="195">
        <f>ROUND(SUM(M102:M110),5)</f>
        <v>510.8</v>
      </c>
      <c r="N111" s="191"/>
      <c r="O111" s="195">
        <f>ROUND(SUM(O102:O110),5)</f>
        <v>796.09</v>
      </c>
      <c r="P111" s="191"/>
      <c r="Q111" s="195">
        <f>ROUND(SUM(Q102:Q110),5)</f>
        <v>6092.29</v>
      </c>
      <c r="R111" s="191"/>
      <c r="S111" s="195">
        <f>ROUND(SUM(S102:S110),5)</f>
        <v>1420.74</v>
      </c>
      <c r="T111" s="191"/>
      <c r="U111" s="195">
        <f>ROUND(SUM(U102:U110),5)</f>
        <v>1007.97</v>
      </c>
      <c r="V111" s="191"/>
      <c r="W111" s="195">
        <f>ROUND(SUM(W102:W110),5)</f>
        <v>7908.3</v>
      </c>
      <c r="X111" s="191"/>
      <c r="Y111" s="195">
        <f>ROUND(SUM(Y102:Y110),5)</f>
        <v>515.97</v>
      </c>
      <c r="Z111" s="191"/>
      <c r="AA111" s="195">
        <f>ROUND(SUM(AA102:AA110),5)</f>
        <v>515.97</v>
      </c>
      <c r="AB111" s="191"/>
      <c r="AC111" s="195">
        <f>ROUND(SUM(AC102:AC110),5)</f>
        <v>515.97</v>
      </c>
      <c r="AD111" s="191"/>
      <c r="AE111" s="195">
        <f t="shared" si="5"/>
        <v>15521</v>
      </c>
    </row>
    <row r="112" spans="1:31" ht="14.45" thickBot="1">
      <c r="A112" s="189"/>
      <c r="B112" s="189"/>
      <c r="C112" s="189"/>
      <c r="D112" s="189" t="s">
        <v>262</v>
      </c>
      <c r="E112" s="189"/>
      <c r="F112" s="189"/>
      <c r="G112" s="195">
        <f>ROUND(G28+G39+G47+G82+G98+G101+G111,5)</f>
        <v>295836.61</v>
      </c>
      <c r="H112" s="191"/>
      <c r="I112" s="195">
        <f>ROUND(I28+I39+I47+I82+I98+I101+I111,5)</f>
        <v>162925.43</v>
      </c>
      <c r="J112" s="191"/>
      <c r="K112" s="195">
        <f>ROUND(K28+K39+K47+K82+K98+K101+K111,5)</f>
        <v>199974.83</v>
      </c>
      <c r="L112" s="191"/>
      <c r="M112" s="195">
        <f>ROUND(M28+M39+M47+M82+M98+M101+M111,5)</f>
        <v>188016.47</v>
      </c>
      <c r="N112" s="191"/>
      <c r="O112" s="195">
        <f>ROUND(O28+O39+O47+O82+O98+O101+O111,5)</f>
        <v>156133.51</v>
      </c>
      <c r="P112" s="191"/>
      <c r="Q112" s="195">
        <f>ROUND(Q28+Q39+Q47+Q82+Q98+Q101+Q111,5)</f>
        <v>144085.59</v>
      </c>
      <c r="R112" s="191"/>
      <c r="S112" s="195">
        <f>ROUND(S28+S39+S47+S82+S98+S101+S111,5)</f>
        <v>196012.12</v>
      </c>
      <c r="T112" s="191"/>
      <c r="U112" s="195">
        <f>ROUND(U28+U39+U47+U82+U98+U101+U111,5)</f>
        <v>152421.79</v>
      </c>
      <c r="V112" s="191"/>
      <c r="W112" s="195">
        <f>ROUND(W28+W39+W47+W82+W98+W101+W111,5)</f>
        <v>149873.95000000001</v>
      </c>
      <c r="X112" s="191"/>
      <c r="Y112" s="195">
        <f>ROUND(Y28+Y39+Y47+Y82+Y98+Y101+Y111,5)</f>
        <v>156222.46666999999</v>
      </c>
      <c r="Z112" s="191"/>
      <c r="AA112" s="195">
        <f>ROUND(AA28+AA39+AA47+AA82+AA98+AA101+AA111,5)</f>
        <v>158521.67000000001</v>
      </c>
      <c r="AB112" s="191"/>
      <c r="AC112" s="195">
        <f>ROUND(AC28+AC39+AC47+AC82+AC98+AC101+AC111,5)</f>
        <v>473099.92</v>
      </c>
      <c r="AD112" s="191"/>
      <c r="AE112" s="195">
        <f t="shared" si="5"/>
        <v>2433124.3566700001</v>
      </c>
    </row>
    <row r="113" spans="1:31" ht="14.45" thickBot="1">
      <c r="A113" s="189"/>
      <c r="B113" s="189" t="s">
        <v>263</v>
      </c>
      <c r="C113" s="189"/>
      <c r="D113" s="189"/>
      <c r="E113" s="189"/>
      <c r="F113" s="189"/>
      <c r="G113" s="195">
        <f>ROUND(G2+G27-G112,5)</f>
        <v>-84172.42</v>
      </c>
      <c r="H113" s="191"/>
      <c r="I113" s="195">
        <f>ROUND(I2+I27-I112,5)</f>
        <v>71428.429999999993</v>
      </c>
      <c r="J113" s="191"/>
      <c r="K113" s="195">
        <f>ROUND(K2+K27-K112,5)</f>
        <v>22620.7</v>
      </c>
      <c r="L113" s="191"/>
      <c r="M113" s="195">
        <f>ROUND(M2+M27-M112,5)</f>
        <v>125740.37</v>
      </c>
      <c r="N113" s="191"/>
      <c r="O113" s="195">
        <f>ROUND(O2+O27-O112,5)</f>
        <v>82402.75</v>
      </c>
      <c r="P113" s="191"/>
      <c r="Q113" s="195">
        <f>ROUND(Q2+Q27-Q112,5)</f>
        <v>89426.240000000005</v>
      </c>
      <c r="R113" s="191"/>
      <c r="S113" s="195">
        <f>ROUND(S2+S27-S112,5)</f>
        <v>55611.86</v>
      </c>
      <c r="T113" s="191"/>
      <c r="U113" s="195">
        <f>ROUND(U2+U27-U112,5)</f>
        <v>58887.87</v>
      </c>
      <c r="V113" s="191"/>
      <c r="W113" s="195">
        <f>ROUND(W2+W27-W112,5)</f>
        <v>70545.87</v>
      </c>
      <c r="X113" s="191"/>
      <c r="Y113" s="195">
        <f>ROUND(Y2+Y27-Y112,5)</f>
        <v>32586.65</v>
      </c>
      <c r="Z113" s="191"/>
      <c r="AA113" s="195">
        <f>ROUND(AA2+AA27-AA112,5)</f>
        <v>30287.436659999999</v>
      </c>
      <c r="AB113" s="191"/>
      <c r="AC113" s="195">
        <f>ROUND(AC2+AC27-AC112,5)</f>
        <v>45167.286659999998</v>
      </c>
      <c r="AD113" s="191"/>
      <c r="AE113" s="195">
        <f t="shared" si="5"/>
        <v>600533.04332000006</v>
      </c>
    </row>
    <row r="114" spans="1:31" s="197" customFormat="1" thickBot="1">
      <c r="A114" s="189" t="s">
        <v>264</v>
      </c>
      <c r="B114" s="189"/>
      <c r="C114" s="189"/>
      <c r="D114" s="189"/>
      <c r="E114" s="189"/>
      <c r="F114" s="189"/>
      <c r="G114" s="196">
        <f>G113</f>
        <v>-84172.42</v>
      </c>
      <c r="H114" s="189"/>
      <c r="I114" s="196">
        <f>I113</f>
        <v>71428.429999999993</v>
      </c>
      <c r="J114" s="189"/>
      <c r="K114" s="196">
        <f>K113</f>
        <v>22620.7</v>
      </c>
      <c r="L114" s="189"/>
      <c r="M114" s="196">
        <f>M113</f>
        <v>125740.37</v>
      </c>
      <c r="N114" s="189"/>
      <c r="O114" s="196">
        <f>O113</f>
        <v>82402.75</v>
      </c>
      <c r="P114" s="189"/>
      <c r="Q114" s="196">
        <f>Q113</f>
        <v>89426.240000000005</v>
      </c>
      <c r="R114" s="189"/>
      <c r="S114" s="196">
        <f>S113</f>
        <v>55611.86</v>
      </c>
      <c r="T114" s="189"/>
      <c r="U114" s="196">
        <f>U113</f>
        <v>58887.87</v>
      </c>
      <c r="V114" s="189"/>
      <c r="W114" s="196">
        <f>W113</f>
        <v>70545.87</v>
      </c>
      <c r="X114" s="189"/>
      <c r="Y114" s="196">
        <f>Y113</f>
        <v>32586.65</v>
      </c>
      <c r="Z114" s="189"/>
      <c r="AA114" s="196">
        <f>AA113</f>
        <v>30287.436659999999</v>
      </c>
      <c r="AB114" s="189"/>
      <c r="AC114" s="196">
        <f>AC113</f>
        <v>45167.286659999998</v>
      </c>
      <c r="AD114" s="189"/>
      <c r="AE114" s="196">
        <f t="shared" si="5"/>
        <v>600533.04332000006</v>
      </c>
    </row>
    <row r="115" spans="1:31" ht="14.45" thickTop="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6BF5B-09A8-438E-9B2E-52F0B63B0D84}">
  <sheetPr codeName="Sheet2"/>
  <dimension ref="A1:AG94"/>
  <sheetViews>
    <sheetView workbookViewId="0">
      <pane xSplit="6" ySplit="1" topLeftCell="G4" activePane="bottomRight" state="frozenSplit"/>
      <selection pane="bottomRight" activeCell="AE101" sqref="AE101"/>
      <selection pane="bottomLeft" activeCell="A2" sqref="A2"/>
      <selection pane="topRight" activeCell="G1" sqref="G1"/>
    </sheetView>
  </sheetViews>
  <sheetFormatPr defaultRowHeight="14.45"/>
  <cols>
    <col min="1" max="5" width="2.85546875" style="174" customWidth="1"/>
    <col min="6" max="6" width="31" style="174" customWidth="1"/>
    <col min="7" max="7" width="8.28515625" bestFit="1" customWidth="1"/>
    <col min="8" max="8" width="2.28515625" customWidth="1"/>
    <col min="9" max="9" width="8.28515625" bestFit="1" customWidth="1"/>
    <col min="10" max="10" width="2.28515625" customWidth="1"/>
    <col min="11" max="11" width="8.28515625" bestFit="1" customWidth="1"/>
    <col min="12" max="12" width="2.28515625" customWidth="1"/>
    <col min="13" max="13" width="8.7109375" bestFit="1" customWidth="1"/>
    <col min="14" max="14" width="2.28515625" customWidth="1"/>
    <col min="15" max="15" width="8.7109375" bestFit="1" customWidth="1"/>
    <col min="16" max="16" width="2.28515625" customWidth="1"/>
    <col min="17" max="17" width="8.7109375" bestFit="1" customWidth="1"/>
    <col min="18" max="18" width="2.28515625" customWidth="1"/>
    <col min="19" max="19" width="8.7109375" bestFit="1" customWidth="1"/>
    <col min="20" max="20" width="2.28515625" customWidth="1"/>
    <col min="21" max="21" width="8.7109375" bestFit="1" customWidth="1"/>
    <col min="22" max="22" width="2.28515625" customWidth="1"/>
    <col min="23" max="23" width="8.7109375" bestFit="1" customWidth="1"/>
    <col min="24" max="24" width="2.28515625" customWidth="1"/>
    <col min="25" max="25" width="8.7109375" bestFit="1" customWidth="1"/>
    <col min="26" max="26" width="2.28515625" customWidth="1"/>
    <col min="27" max="27" width="8.7109375" customWidth="1"/>
    <col min="28" max="28" width="2.28515625" customWidth="1"/>
    <col min="29" max="29" width="8.7109375" customWidth="1"/>
    <col min="30" max="30" width="2.28515625" customWidth="1"/>
    <col min="31" max="31" width="9.5703125" bestFit="1" customWidth="1"/>
    <col min="33" max="33" width="9.7109375" bestFit="1" customWidth="1"/>
  </cols>
  <sheetData>
    <row r="1" spans="1:33" s="178" customFormat="1" ht="15" thickBot="1">
      <c r="A1" s="175"/>
      <c r="B1" s="175"/>
      <c r="C1" s="175"/>
      <c r="D1" s="175"/>
      <c r="E1" s="175"/>
      <c r="F1" s="175"/>
      <c r="G1" s="176" t="s">
        <v>139</v>
      </c>
      <c r="H1" s="177"/>
      <c r="I1" s="176" t="s">
        <v>140</v>
      </c>
      <c r="J1" s="177"/>
      <c r="K1" s="176" t="s">
        <v>141</v>
      </c>
      <c r="L1" s="177"/>
      <c r="M1" s="176" t="s">
        <v>142</v>
      </c>
      <c r="N1" s="177"/>
      <c r="O1" s="176" t="s">
        <v>143</v>
      </c>
      <c r="P1" s="177"/>
      <c r="Q1" s="176" t="s">
        <v>144</v>
      </c>
      <c r="R1" s="177"/>
      <c r="S1" s="176" t="s">
        <v>145</v>
      </c>
      <c r="T1" s="177"/>
      <c r="U1" s="176" t="s">
        <v>146</v>
      </c>
      <c r="V1" s="177"/>
      <c r="W1" s="176" t="s">
        <v>147</v>
      </c>
      <c r="X1" s="177"/>
      <c r="Y1" s="176" t="s">
        <v>148</v>
      </c>
      <c r="Z1" s="177"/>
      <c r="AA1" s="176" t="s">
        <v>149</v>
      </c>
      <c r="AB1" s="177"/>
      <c r="AC1" s="176" t="s">
        <v>150</v>
      </c>
      <c r="AD1" s="177"/>
      <c r="AE1" s="176" t="s">
        <v>151</v>
      </c>
    </row>
    <row r="2" spans="1:33" ht="15" thickTop="1">
      <c r="A2" s="167"/>
      <c r="B2" s="167" t="s">
        <v>152</v>
      </c>
      <c r="C2" s="167"/>
      <c r="D2" s="167"/>
      <c r="E2" s="167"/>
      <c r="F2" s="167"/>
      <c r="G2" s="168"/>
      <c r="H2" s="169"/>
      <c r="I2" s="168"/>
      <c r="J2" s="169"/>
      <c r="K2" s="168"/>
      <c r="L2" s="169"/>
      <c r="M2" s="168"/>
      <c r="N2" s="169"/>
      <c r="O2" s="168"/>
      <c r="P2" s="169"/>
      <c r="Q2" s="168"/>
      <c r="R2" s="169"/>
      <c r="S2" s="168"/>
      <c r="T2" s="169"/>
      <c r="U2" s="168"/>
      <c r="V2" s="169"/>
      <c r="W2" s="168"/>
      <c r="X2" s="169"/>
      <c r="Y2" s="168"/>
      <c r="Z2" s="169"/>
      <c r="AA2" s="168"/>
      <c r="AB2" s="169"/>
      <c r="AC2" s="168"/>
      <c r="AD2" s="169"/>
      <c r="AE2" s="168"/>
    </row>
    <row r="3" spans="1:33">
      <c r="A3" s="167"/>
      <c r="B3" s="167"/>
      <c r="C3" s="167"/>
      <c r="D3" s="167" t="s">
        <v>153</v>
      </c>
      <c r="E3" s="167"/>
      <c r="F3" s="167"/>
      <c r="G3" s="168"/>
      <c r="H3" s="169"/>
      <c r="I3" s="168"/>
      <c r="J3" s="169"/>
      <c r="K3" s="168"/>
      <c r="L3" s="169"/>
      <c r="M3" s="168"/>
      <c r="N3" s="169"/>
      <c r="O3" s="168"/>
      <c r="P3" s="169"/>
      <c r="Q3" s="168"/>
      <c r="R3" s="169"/>
      <c r="S3" s="168"/>
      <c r="T3" s="169"/>
      <c r="U3" s="168"/>
      <c r="V3" s="169"/>
      <c r="W3" s="168"/>
      <c r="X3" s="169"/>
      <c r="Y3" s="168"/>
      <c r="Z3" s="169"/>
      <c r="AA3" s="168"/>
      <c r="AB3" s="169"/>
      <c r="AC3" s="168"/>
      <c r="AD3" s="169"/>
      <c r="AE3" s="168"/>
    </row>
    <row r="4" spans="1:33">
      <c r="A4" s="167"/>
      <c r="B4" s="167"/>
      <c r="C4" s="167"/>
      <c r="D4" s="167"/>
      <c r="E4" s="167" t="s">
        <v>154</v>
      </c>
      <c r="F4" s="167"/>
      <c r="G4" s="168"/>
      <c r="H4" s="169"/>
      <c r="I4" s="168"/>
      <c r="J4" s="169"/>
      <c r="K4" s="168"/>
      <c r="L4" s="169"/>
      <c r="M4" s="168"/>
      <c r="N4" s="169"/>
      <c r="O4" s="168"/>
      <c r="P4" s="169"/>
      <c r="Q4" s="168"/>
      <c r="R4" s="169"/>
      <c r="S4" s="168"/>
      <c r="T4" s="169"/>
      <c r="U4" s="168"/>
      <c r="V4" s="169"/>
      <c r="W4" s="168"/>
      <c r="X4" s="169"/>
      <c r="Y4" s="168"/>
      <c r="Z4" s="169"/>
      <c r="AA4" s="168"/>
      <c r="AB4" s="169"/>
      <c r="AC4" s="168"/>
      <c r="AD4" s="169"/>
      <c r="AE4" s="168"/>
    </row>
    <row r="5" spans="1:33">
      <c r="A5" s="167"/>
      <c r="B5" s="167"/>
      <c r="C5" s="167"/>
      <c r="D5" s="167"/>
      <c r="E5" s="167"/>
      <c r="F5" s="167" t="s">
        <v>155</v>
      </c>
      <c r="G5" s="168">
        <v>7520.89</v>
      </c>
      <c r="H5" s="169"/>
      <c r="I5" s="168">
        <v>7945.07</v>
      </c>
      <c r="J5" s="169"/>
      <c r="K5" s="168">
        <v>8002.4</v>
      </c>
      <c r="L5" s="169"/>
      <c r="M5" s="168">
        <v>8002.4</v>
      </c>
      <c r="N5" s="169"/>
      <c r="O5" s="168">
        <v>8002.4</v>
      </c>
      <c r="P5" s="169"/>
      <c r="Q5" s="168">
        <v>8002.4</v>
      </c>
      <c r="R5" s="169"/>
      <c r="S5" s="168">
        <v>8002.4</v>
      </c>
      <c r="T5" s="169"/>
      <c r="U5" s="168">
        <v>8002.4</v>
      </c>
      <c r="V5" s="169"/>
      <c r="W5" s="168">
        <v>8002.4</v>
      </c>
      <c r="X5" s="169"/>
      <c r="Y5" s="168">
        <v>8002.4</v>
      </c>
      <c r="Z5" s="169"/>
      <c r="AA5" s="168">
        <v>8002.4</v>
      </c>
      <c r="AB5" s="169"/>
      <c r="AC5" s="168">
        <v>8002.4</v>
      </c>
      <c r="AD5" s="169"/>
      <c r="AE5" s="168">
        <f>ROUND(SUM(G5:AC5),5)</f>
        <v>95489.96</v>
      </c>
    </row>
    <row r="6" spans="1:33" ht="15" thickBot="1">
      <c r="A6" s="167"/>
      <c r="B6" s="167"/>
      <c r="C6" s="167"/>
      <c r="D6" s="167"/>
      <c r="E6" s="167"/>
      <c r="F6" s="167" t="s">
        <v>156</v>
      </c>
      <c r="G6" s="170">
        <v>5000</v>
      </c>
      <c r="H6" s="169"/>
      <c r="I6" s="170">
        <v>5000</v>
      </c>
      <c r="J6" s="169"/>
      <c r="K6" s="170">
        <v>5000</v>
      </c>
      <c r="L6" s="169"/>
      <c r="M6" s="170">
        <v>5000</v>
      </c>
      <c r="N6" s="169"/>
      <c r="O6" s="170">
        <v>5000</v>
      </c>
      <c r="P6" s="169"/>
      <c r="Q6" s="170">
        <v>5000</v>
      </c>
      <c r="R6" s="169"/>
      <c r="S6" s="170">
        <v>5000</v>
      </c>
      <c r="T6" s="169"/>
      <c r="U6" s="170">
        <v>5000</v>
      </c>
      <c r="V6" s="169"/>
      <c r="W6" s="170">
        <v>5000</v>
      </c>
      <c r="X6" s="169"/>
      <c r="Y6" s="170">
        <v>5000</v>
      </c>
      <c r="Z6" s="169"/>
      <c r="AA6" s="170">
        <v>5000</v>
      </c>
      <c r="AB6" s="169"/>
      <c r="AC6" s="170">
        <v>5000</v>
      </c>
      <c r="AD6" s="169"/>
      <c r="AE6" s="170">
        <f>ROUND(SUM(G6:AC6),5)</f>
        <v>60000</v>
      </c>
    </row>
    <row r="7" spans="1:33">
      <c r="A7" s="167"/>
      <c r="B7" s="167"/>
      <c r="C7" s="167"/>
      <c r="D7" s="167"/>
      <c r="E7" s="167" t="s">
        <v>157</v>
      </c>
      <c r="F7" s="167"/>
      <c r="G7" s="168">
        <f>ROUND(SUM(G4:G6),5)</f>
        <v>12520.89</v>
      </c>
      <c r="H7" s="169"/>
      <c r="I7" s="168">
        <f>ROUND(SUM(I4:I6),5)</f>
        <v>12945.07</v>
      </c>
      <c r="J7" s="169"/>
      <c r="K7" s="168">
        <f>ROUND(SUM(K4:K6),5)</f>
        <v>13002.4</v>
      </c>
      <c r="L7" s="169"/>
      <c r="M7" s="168">
        <f>ROUND(SUM(M4:M6),5)</f>
        <v>13002.4</v>
      </c>
      <c r="N7" s="169"/>
      <c r="O7" s="168">
        <f>ROUND(SUM(O4:O6),5)</f>
        <v>13002.4</v>
      </c>
      <c r="P7" s="169"/>
      <c r="Q7" s="168">
        <f>ROUND(SUM(Q4:Q6),5)</f>
        <v>13002.4</v>
      </c>
      <c r="R7" s="169"/>
      <c r="S7" s="168">
        <f>ROUND(SUM(S4:S6),5)</f>
        <v>13002.4</v>
      </c>
      <c r="T7" s="169"/>
      <c r="U7" s="168">
        <f>ROUND(SUM(U4:U6),5)</f>
        <v>13002.4</v>
      </c>
      <c r="V7" s="169"/>
      <c r="W7" s="168">
        <f>ROUND(SUM(W4:W6),5)</f>
        <v>13002.4</v>
      </c>
      <c r="X7" s="169"/>
      <c r="Y7" s="168">
        <f>ROUND(SUM(Y4:Y6),5)</f>
        <v>13002.4</v>
      </c>
      <c r="Z7" s="169"/>
      <c r="AA7" s="168">
        <f>ROUND(SUM(AA4:AA6),5)</f>
        <v>13002.4</v>
      </c>
      <c r="AB7" s="169"/>
      <c r="AC7" s="168">
        <f>ROUND(SUM(AC4:AC6),5)</f>
        <v>13002.4</v>
      </c>
      <c r="AD7" s="169"/>
      <c r="AE7" s="168">
        <f>ROUND(SUM(G7:AC7),5)</f>
        <v>155489.96</v>
      </c>
    </row>
    <row r="8" spans="1:33">
      <c r="A8" s="167"/>
      <c r="B8" s="167"/>
      <c r="C8" s="167"/>
      <c r="D8" s="167"/>
      <c r="E8" s="167" t="s">
        <v>160</v>
      </c>
      <c r="F8" s="167"/>
      <c r="G8" s="168"/>
      <c r="H8" s="169"/>
      <c r="I8" s="168"/>
      <c r="J8" s="169"/>
      <c r="K8" s="168"/>
      <c r="L8" s="169"/>
      <c r="M8" s="168"/>
      <c r="N8" s="169"/>
      <c r="O8" s="168"/>
      <c r="P8" s="169"/>
      <c r="Q8" s="168"/>
      <c r="R8" s="169"/>
      <c r="S8" s="168"/>
      <c r="T8" s="169"/>
      <c r="U8" s="168"/>
      <c r="V8" s="169"/>
      <c r="W8" s="168"/>
      <c r="X8" s="169"/>
      <c r="Y8" s="168"/>
      <c r="Z8" s="169"/>
      <c r="AA8" s="168"/>
      <c r="AB8" s="169"/>
      <c r="AC8" s="168"/>
      <c r="AD8" s="169"/>
      <c r="AE8" s="168"/>
    </row>
    <row r="9" spans="1:33">
      <c r="A9" s="167"/>
      <c r="B9" s="167"/>
      <c r="C9" s="167"/>
      <c r="D9" s="167"/>
      <c r="E9" s="167"/>
      <c r="F9" s="167" t="s">
        <v>161</v>
      </c>
      <c r="G9" s="168">
        <v>131964.31</v>
      </c>
      <c r="H9" s="169"/>
      <c r="I9" s="168">
        <v>133849.34</v>
      </c>
      <c r="J9" s="169"/>
      <c r="K9" s="168">
        <v>130587.36</v>
      </c>
      <c r="L9" s="169"/>
      <c r="M9" s="168">
        <v>130587.36</v>
      </c>
      <c r="N9" s="169"/>
      <c r="O9" s="168">
        <v>130587.36</v>
      </c>
      <c r="P9" s="169"/>
      <c r="Q9" s="168">
        <v>130587.36</v>
      </c>
      <c r="R9" s="169"/>
      <c r="S9" s="168">
        <v>130587.36</v>
      </c>
      <c r="T9" s="169"/>
      <c r="U9" s="168">
        <v>130587.36</v>
      </c>
      <c r="V9" s="169"/>
      <c r="W9" s="168">
        <v>130587.36</v>
      </c>
      <c r="X9" s="169"/>
      <c r="Y9" s="168">
        <v>130587.36</v>
      </c>
      <c r="Z9" s="169"/>
      <c r="AA9" s="168">
        <v>130587.36</v>
      </c>
      <c r="AB9" s="169"/>
      <c r="AC9" s="168">
        <v>130587.36</v>
      </c>
      <c r="AD9" s="169"/>
      <c r="AE9" s="168">
        <f>ROUND(SUM(G9:AC9),5)</f>
        <v>1571687.25</v>
      </c>
      <c r="AG9">
        <f>1407397.63+247649.27-78073.55-5286.1</f>
        <v>1571687.2499999998</v>
      </c>
    </row>
    <row r="10" spans="1:33" ht="15" thickBot="1">
      <c r="A10" s="167"/>
      <c r="B10" s="167"/>
      <c r="C10" s="167"/>
      <c r="D10" s="167"/>
      <c r="E10" s="167"/>
      <c r="F10" s="167" t="s">
        <v>163</v>
      </c>
      <c r="G10" s="170">
        <v>7512.83</v>
      </c>
      <c r="H10" s="169"/>
      <c r="I10" s="170">
        <v>23070.12</v>
      </c>
      <c r="J10" s="169"/>
      <c r="K10" s="170">
        <v>15291.47</v>
      </c>
      <c r="L10" s="169"/>
      <c r="M10" s="170">
        <v>15291.47</v>
      </c>
      <c r="N10" s="169"/>
      <c r="O10" s="170">
        <v>15291.47</v>
      </c>
      <c r="P10" s="169"/>
      <c r="Q10" s="170">
        <v>15291.47</v>
      </c>
      <c r="R10" s="169"/>
      <c r="S10" s="170">
        <v>15291.47</v>
      </c>
      <c r="T10" s="169"/>
      <c r="U10" s="170">
        <v>15291.47</v>
      </c>
      <c r="V10" s="169"/>
      <c r="W10" s="170">
        <v>15291.47</v>
      </c>
      <c r="X10" s="169"/>
      <c r="Y10" s="170">
        <v>15291.47</v>
      </c>
      <c r="Z10" s="169"/>
      <c r="AA10" s="170">
        <v>15291.47</v>
      </c>
      <c r="AB10" s="169"/>
      <c r="AC10" s="170">
        <v>15291.47</v>
      </c>
      <c r="AD10" s="169"/>
      <c r="AE10" s="170">
        <f>ROUND(SUM(G10:AC10),5)</f>
        <v>183497.65</v>
      </c>
      <c r="AG10">
        <v>183497.69</v>
      </c>
    </row>
    <row r="11" spans="1:33">
      <c r="A11" s="167"/>
      <c r="B11" s="167"/>
      <c r="C11" s="167"/>
      <c r="D11" s="167"/>
      <c r="E11" s="167" t="s">
        <v>164</v>
      </c>
      <c r="F11" s="167"/>
      <c r="G11" s="168">
        <f>ROUND(SUM(G8:G10),5)</f>
        <v>139477.14000000001</v>
      </c>
      <c r="H11" s="169"/>
      <c r="I11" s="168">
        <f>ROUND(SUM(I8:I10),5)</f>
        <v>156919.46</v>
      </c>
      <c r="J11" s="169"/>
      <c r="K11" s="168">
        <f>ROUND(SUM(K8:K10),5)</f>
        <v>145878.82999999999</v>
      </c>
      <c r="L11" s="169"/>
      <c r="M11" s="168">
        <f>ROUND(SUM(M8:M10),5)</f>
        <v>145878.82999999999</v>
      </c>
      <c r="N11" s="169"/>
      <c r="O11" s="168">
        <f>ROUND(SUM(O8:O10),5)</f>
        <v>145878.82999999999</v>
      </c>
      <c r="P11" s="169"/>
      <c r="Q11" s="168">
        <f>ROUND(SUM(Q8:Q10),5)</f>
        <v>145878.82999999999</v>
      </c>
      <c r="R11" s="169"/>
      <c r="S11" s="168">
        <f>ROUND(SUM(S8:S10),5)</f>
        <v>145878.82999999999</v>
      </c>
      <c r="T11" s="169"/>
      <c r="U11" s="168">
        <f>ROUND(SUM(U8:U10),5)</f>
        <v>145878.82999999999</v>
      </c>
      <c r="V11" s="169"/>
      <c r="W11" s="168">
        <f>ROUND(SUM(W8:W10),5)</f>
        <v>145878.82999999999</v>
      </c>
      <c r="X11" s="169"/>
      <c r="Y11" s="168">
        <f>ROUND(SUM(Y8:Y10),5)</f>
        <v>145878.82999999999</v>
      </c>
      <c r="Z11" s="169"/>
      <c r="AA11" s="168">
        <f>ROUND(SUM(AA8:AA10),5)</f>
        <v>145878.82999999999</v>
      </c>
      <c r="AB11" s="169"/>
      <c r="AC11" s="168">
        <f>ROUND(SUM(AC8:AC10),5)</f>
        <v>145878.82999999999</v>
      </c>
      <c r="AD11" s="169"/>
      <c r="AE11" s="168">
        <f>ROUND(SUM(G11:AC11),5)</f>
        <v>1755184.9</v>
      </c>
    </row>
    <row r="12" spans="1:33">
      <c r="A12" s="167"/>
      <c r="B12" s="167"/>
      <c r="C12" s="167"/>
      <c r="D12" s="167"/>
      <c r="E12" s="167" t="s">
        <v>165</v>
      </c>
      <c r="F12" s="167"/>
      <c r="G12" s="168"/>
      <c r="H12" s="169"/>
      <c r="I12" s="168"/>
      <c r="J12" s="169"/>
      <c r="K12" s="168"/>
      <c r="L12" s="169"/>
      <c r="M12" s="168"/>
      <c r="N12" s="169"/>
      <c r="O12" s="168"/>
      <c r="P12" s="169"/>
      <c r="Q12" s="168"/>
      <c r="R12" s="169"/>
      <c r="S12" s="168"/>
      <c r="T12" s="169"/>
      <c r="U12" s="168"/>
      <c r="V12" s="169"/>
      <c r="W12" s="168"/>
      <c r="X12" s="169"/>
      <c r="Y12" s="168"/>
      <c r="Z12" s="169"/>
      <c r="AA12" s="168"/>
      <c r="AB12" s="169"/>
      <c r="AC12" s="168"/>
      <c r="AD12" s="169"/>
      <c r="AE12" s="168"/>
    </row>
    <row r="13" spans="1:33">
      <c r="A13" s="167"/>
      <c r="B13" s="167"/>
      <c r="C13" s="167"/>
      <c r="D13" s="167"/>
      <c r="E13" s="167"/>
      <c r="F13" s="167" t="s">
        <v>166</v>
      </c>
      <c r="G13" s="168">
        <v>20576.34</v>
      </c>
      <c r="H13" s="169"/>
      <c r="I13" s="168">
        <v>23405.14</v>
      </c>
      <c r="J13" s="169"/>
      <c r="K13" s="168">
        <v>21981.040000000001</v>
      </c>
      <c r="L13" s="169"/>
      <c r="M13" s="168">
        <v>21981.040000000001</v>
      </c>
      <c r="N13" s="169"/>
      <c r="O13" s="168">
        <v>21981.040000000001</v>
      </c>
      <c r="P13" s="169"/>
      <c r="Q13" s="168">
        <v>21981.040000000001</v>
      </c>
      <c r="R13" s="169"/>
      <c r="S13" s="168">
        <v>21981.040000000001</v>
      </c>
      <c r="T13" s="169"/>
      <c r="U13" s="168">
        <v>21981.040000000001</v>
      </c>
      <c r="V13" s="169"/>
      <c r="W13" s="168">
        <v>21981.040000000001</v>
      </c>
      <c r="X13" s="169"/>
      <c r="Y13" s="168">
        <v>21981.040000000001</v>
      </c>
      <c r="Z13" s="169"/>
      <c r="AA13" s="168">
        <v>21981.040000000001</v>
      </c>
      <c r="AB13" s="169"/>
      <c r="AC13" s="168">
        <v>21981.040000000001</v>
      </c>
      <c r="AD13" s="169"/>
      <c r="AE13" s="168">
        <f t="shared" ref="AE13:AE18" si="0">ROUND(SUM(G13:AC13),5)</f>
        <v>263791.88</v>
      </c>
      <c r="AG13">
        <v>263791.90000000002</v>
      </c>
    </row>
    <row r="14" spans="1:33">
      <c r="A14" s="167"/>
      <c r="B14" s="167"/>
      <c r="C14" s="167"/>
      <c r="D14" s="167"/>
      <c r="E14" s="167"/>
      <c r="F14" s="167" t="s">
        <v>167</v>
      </c>
      <c r="G14" s="168">
        <v>27124.75</v>
      </c>
      <c r="H14" s="169"/>
      <c r="I14" s="168">
        <v>32151.56</v>
      </c>
      <c r="J14" s="169"/>
      <c r="K14" s="168">
        <v>29638.16</v>
      </c>
      <c r="L14" s="169"/>
      <c r="M14" s="168">
        <v>29638.16</v>
      </c>
      <c r="N14" s="169"/>
      <c r="O14" s="168">
        <v>29638.16</v>
      </c>
      <c r="P14" s="169"/>
      <c r="Q14" s="168">
        <v>29638.16</v>
      </c>
      <c r="R14" s="169"/>
      <c r="S14" s="168">
        <v>29638.16</v>
      </c>
      <c r="T14" s="169"/>
      <c r="U14" s="168">
        <v>29638.16</v>
      </c>
      <c r="V14" s="169"/>
      <c r="W14" s="168">
        <v>29638.16</v>
      </c>
      <c r="X14" s="169"/>
      <c r="Y14" s="168">
        <v>29638.16</v>
      </c>
      <c r="Z14" s="169"/>
      <c r="AA14" s="168">
        <v>29638.16</v>
      </c>
      <c r="AB14" s="169"/>
      <c r="AC14" s="168">
        <v>29638.16</v>
      </c>
      <c r="AD14" s="169"/>
      <c r="AE14" s="168">
        <f t="shared" si="0"/>
        <v>355657.91</v>
      </c>
      <c r="AG14">
        <v>355657.87</v>
      </c>
    </row>
    <row r="15" spans="1:33">
      <c r="A15" s="167"/>
      <c r="B15" s="167"/>
      <c r="C15" s="167"/>
      <c r="D15" s="167"/>
      <c r="E15" s="167"/>
      <c r="F15" s="167" t="s">
        <v>168</v>
      </c>
      <c r="G15" s="168">
        <v>2061.14</v>
      </c>
      <c r="H15" s="169"/>
      <c r="I15" s="168">
        <v>2310.88</v>
      </c>
      <c r="J15" s="169"/>
      <c r="K15" s="168">
        <v>2186.0100000000002</v>
      </c>
      <c r="L15" s="169"/>
      <c r="M15" s="168">
        <v>2186.0100000000002</v>
      </c>
      <c r="N15" s="169"/>
      <c r="O15" s="168">
        <v>2186.0100000000002</v>
      </c>
      <c r="P15" s="169"/>
      <c r="Q15" s="168">
        <v>2186.0100000000002</v>
      </c>
      <c r="R15" s="169"/>
      <c r="S15" s="168">
        <v>2186.0100000000002</v>
      </c>
      <c r="T15" s="169"/>
      <c r="U15" s="168">
        <v>2186.0100000000002</v>
      </c>
      <c r="V15" s="169"/>
      <c r="W15" s="168">
        <v>2186.0100000000002</v>
      </c>
      <c r="X15" s="169"/>
      <c r="Y15" s="168">
        <v>2186.0100000000002</v>
      </c>
      <c r="Z15" s="169"/>
      <c r="AA15" s="168">
        <v>2186.0100000000002</v>
      </c>
      <c r="AB15" s="169"/>
      <c r="AC15" s="168">
        <v>2186.0100000000002</v>
      </c>
      <c r="AD15" s="169"/>
      <c r="AE15" s="168">
        <f t="shared" si="0"/>
        <v>26232.12</v>
      </c>
      <c r="AG15">
        <v>26232.12</v>
      </c>
    </row>
    <row r="16" spans="1:33">
      <c r="A16" s="167"/>
      <c r="B16" s="167"/>
      <c r="C16" s="167"/>
      <c r="D16" s="167"/>
      <c r="E16" s="167"/>
      <c r="F16" s="167" t="s">
        <v>169</v>
      </c>
      <c r="G16" s="168">
        <v>5355.98</v>
      </c>
      <c r="H16" s="169"/>
      <c r="I16" s="168">
        <v>5551.75</v>
      </c>
      <c r="J16" s="169"/>
      <c r="K16" s="168">
        <v>5453.86</v>
      </c>
      <c r="L16" s="169"/>
      <c r="M16" s="168">
        <v>5453.86</v>
      </c>
      <c r="N16" s="169"/>
      <c r="O16" s="168">
        <v>5453.86</v>
      </c>
      <c r="P16" s="169"/>
      <c r="Q16" s="168">
        <v>5453.86</v>
      </c>
      <c r="R16" s="169"/>
      <c r="S16" s="168">
        <v>5453.86</v>
      </c>
      <c r="T16" s="169"/>
      <c r="U16" s="168">
        <v>5453.86</v>
      </c>
      <c r="V16" s="169"/>
      <c r="W16" s="168">
        <v>5453.86</v>
      </c>
      <c r="X16" s="169"/>
      <c r="Y16" s="168">
        <v>5453.86</v>
      </c>
      <c r="Z16" s="169"/>
      <c r="AA16" s="168">
        <v>5453.86</v>
      </c>
      <c r="AB16" s="169"/>
      <c r="AC16" s="168">
        <v>5453.86</v>
      </c>
      <c r="AD16" s="169"/>
      <c r="AE16" s="168">
        <f t="shared" si="0"/>
        <v>65446.33</v>
      </c>
      <c r="AG16">
        <v>65446.37</v>
      </c>
    </row>
    <row r="17" spans="1:33" ht="15" thickBot="1">
      <c r="A17" s="167"/>
      <c r="B17" s="167"/>
      <c r="C17" s="167"/>
      <c r="D17" s="167"/>
      <c r="E17" s="167"/>
      <c r="F17" s="167" t="s">
        <v>170</v>
      </c>
      <c r="G17" s="170">
        <v>46.1</v>
      </c>
      <c r="H17" s="169"/>
      <c r="I17" s="170">
        <v>0</v>
      </c>
      <c r="J17" s="169"/>
      <c r="K17" s="170">
        <v>0</v>
      </c>
      <c r="L17" s="169"/>
      <c r="M17" s="170">
        <v>0</v>
      </c>
      <c r="N17" s="169"/>
      <c r="O17" s="170">
        <v>0</v>
      </c>
      <c r="P17" s="169"/>
      <c r="Q17" s="170">
        <v>0</v>
      </c>
      <c r="R17" s="169"/>
      <c r="S17" s="170">
        <v>0</v>
      </c>
      <c r="T17" s="169"/>
      <c r="U17" s="170">
        <v>0</v>
      </c>
      <c r="V17" s="169"/>
      <c r="W17" s="170">
        <v>0</v>
      </c>
      <c r="X17" s="169"/>
      <c r="Y17" s="170">
        <v>0</v>
      </c>
      <c r="Z17" s="169"/>
      <c r="AA17" s="170">
        <v>0</v>
      </c>
      <c r="AB17" s="169"/>
      <c r="AC17" s="170">
        <v>0</v>
      </c>
      <c r="AD17" s="169"/>
      <c r="AE17" s="170">
        <f t="shared" si="0"/>
        <v>46.1</v>
      </c>
    </row>
    <row r="18" spans="1:33">
      <c r="A18" s="167"/>
      <c r="B18" s="167"/>
      <c r="C18" s="167"/>
      <c r="D18" s="167"/>
      <c r="E18" s="167" t="s">
        <v>171</v>
      </c>
      <c r="F18" s="167"/>
      <c r="G18" s="168">
        <f>ROUND(SUM(G12:G17),5)</f>
        <v>55164.31</v>
      </c>
      <c r="H18" s="169"/>
      <c r="I18" s="168">
        <f>ROUND(SUM(I12:I17),5)</f>
        <v>63419.33</v>
      </c>
      <c r="J18" s="169"/>
      <c r="K18" s="168">
        <f>ROUND(SUM(K12:K17),5)</f>
        <v>59259.07</v>
      </c>
      <c r="L18" s="169"/>
      <c r="M18" s="168">
        <f>ROUND(SUM(M12:M17),5)</f>
        <v>59259.07</v>
      </c>
      <c r="N18" s="169"/>
      <c r="O18" s="168">
        <f>ROUND(SUM(O12:O17),5)</f>
        <v>59259.07</v>
      </c>
      <c r="P18" s="169"/>
      <c r="Q18" s="168">
        <f>ROUND(SUM(Q12:Q17),5)</f>
        <v>59259.07</v>
      </c>
      <c r="R18" s="169"/>
      <c r="S18" s="168">
        <f>ROUND(SUM(S12:S17),5)</f>
        <v>59259.07</v>
      </c>
      <c r="T18" s="169"/>
      <c r="U18" s="168">
        <f>ROUND(SUM(U12:U17),5)</f>
        <v>59259.07</v>
      </c>
      <c r="V18" s="169"/>
      <c r="W18" s="168">
        <f>ROUND(SUM(W12:W17),5)</f>
        <v>59259.07</v>
      </c>
      <c r="X18" s="169"/>
      <c r="Y18" s="168">
        <f>ROUND(SUM(Y12:Y17),5)</f>
        <v>59259.07</v>
      </c>
      <c r="Z18" s="169"/>
      <c r="AA18" s="168">
        <f>ROUND(SUM(AA12:AA17),5)</f>
        <v>59259.07</v>
      </c>
      <c r="AB18" s="169"/>
      <c r="AC18" s="168">
        <f>ROUND(SUM(AC12:AC17),5)</f>
        <v>59259.07</v>
      </c>
      <c r="AD18" s="169"/>
      <c r="AE18" s="168">
        <f t="shared" si="0"/>
        <v>711174.34</v>
      </c>
    </row>
    <row r="19" spans="1:33">
      <c r="A19" s="167"/>
      <c r="B19" s="167"/>
      <c r="C19" s="167"/>
      <c r="D19" s="167"/>
      <c r="E19" s="167" t="s">
        <v>172</v>
      </c>
      <c r="F19" s="167"/>
      <c r="G19" s="168"/>
      <c r="H19" s="169"/>
      <c r="I19" s="168"/>
      <c r="J19" s="169"/>
      <c r="K19" s="168"/>
      <c r="L19" s="169"/>
      <c r="M19" s="168"/>
      <c r="N19" s="169"/>
      <c r="O19" s="168"/>
      <c r="P19" s="169"/>
      <c r="Q19" s="168"/>
      <c r="R19" s="169"/>
      <c r="S19" s="168"/>
      <c r="T19" s="169"/>
      <c r="U19" s="168"/>
      <c r="V19" s="169"/>
      <c r="W19" s="168"/>
      <c r="X19" s="169"/>
      <c r="Y19" s="168"/>
      <c r="Z19" s="169"/>
      <c r="AA19" s="168"/>
      <c r="AB19" s="169"/>
      <c r="AC19" s="168"/>
      <c r="AD19" s="169"/>
      <c r="AE19" s="168"/>
    </row>
    <row r="20" spans="1:33" ht="15" thickBot="1">
      <c r="A20" s="167"/>
      <c r="B20" s="167"/>
      <c r="C20" s="167"/>
      <c r="D20" s="167"/>
      <c r="E20" s="167"/>
      <c r="F20" s="167" t="s">
        <v>173</v>
      </c>
      <c r="G20" s="170">
        <v>3973.24</v>
      </c>
      <c r="H20" s="169"/>
      <c r="I20" s="170">
        <v>0</v>
      </c>
      <c r="J20" s="169"/>
      <c r="K20" s="170">
        <v>0</v>
      </c>
      <c r="L20" s="169"/>
      <c r="M20" s="170">
        <v>1643.62</v>
      </c>
      <c r="N20" s="169"/>
      <c r="O20" s="170">
        <f>1080000/10</f>
        <v>108000</v>
      </c>
      <c r="P20" s="169"/>
      <c r="Q20" s="170">
        <f>1080000/10</f>
        <v>108000</v>
      </c>
      <c r="R20" s="169"/>
      <c r="S20" s="170">
        <f>1080000/10</f>
        <v>108000</v>
      </c>
      <c r="T20" s="169"/>
      <c r="U20" s="170">
        <f>1080000/10</f>
        <v>108000</v>
      </c>
      <c r="V20" s="169"/>
      <c r="W20" s="170">
        <f>1080000/10</f>
        <v>108000</v>
      </c>
      <c r="X20" s="169"/>
      <c r="Y20" s="170">
        <f>1080000/10</f>
        <v>108000</v>
      </c>
      <c r="Z20" s="169"/>
      <c r="AA20" s="170">
        <f>1080000/10</f>
        <v>108000</v>
      </c>
      <c r="AB20" s="169"/>
      <c r="AC20" s="170">
        <f>1080000/10</f>
        <v>108000</v>
      </c>
      <c r="AD20" s="169"/>
      <c r="AE20" s="170">
        <f>ROUND(SUM(G20:AC20),5)</f>
        <v>869616.86</v>
      </c>
      <c r="AG20">
        <f>1030000+50000</f>
        <v>1080000</v>
      </c>
    </row>
    <row r="21" spans="1:33">
      <c r="A21" s="167"/>
      <c r="B21" s="167"/>
      <c r="C21" s="167"/>
      <c r="D21" s="167"/>
      <c r="E21" s="167" t="s">
        <v>174</v>
      </c>
      <c r="F21" s="167"/>
      <c r="G21" s="168">
        <f>ROUND(SUM(G19:G20),5)</f>
        <v>3973.24</v>
      </c>
      <c r="H21" s="169"/>
      <c r="I21" s="168">
        <f>ROUND(SUM(I19:I20),5)</f>
        <v>0</v>
      </c>
      <c r="J21" s="169"/>
      <c r="K21" s="168">
        <f>ROUND(SUM(K19:K20),5)</f>
        <v>0</v>
      </c>
      <c r="L21" s="169"/>
      <c r="M21" s="168">
        <f>ROUND(SUM(M19:M20),5)</f>
        <v>1643.62</v>
      </c>
      <c r="N21" s="169"/>
      <c r="O21" s="168">
        <f>ROUND(SUM(O19:O20),5)</f>
        <v>108000</v>
      </c>
      <c r="P21" s="169"/>
      <c r="Q21" s="168">
        <f>ROUND(SUM(Q19:Q20),5)</f>
        <v>108000</v>
      </c>
      <c r="R21" s="169"/>
      <c r="S21" s="168">
        <f>ROUND(SUM(S19:S20),5)</f>
        <v>108000</v>
      </c>
      <c r="T21" s="169"/>
      <c r="U21" s="168">
        <f>ROUND(SUM(U19:U20),5)</f>
        <v>108000</v>
      </c>
      <c r="V21" s="169"/>
      <c r="W21" s="168">
        <f>ROUND(SUM(W19:W20),5)</f>
        <v>108000</v>
      </c>
      <c r="X21" s="169"/>
      <c r="Y21" s="168">
        <f>ROUND(SUM(Y19:Y20),5)</f>
        <v>108000</v>
      </c>
      <c r="Z21" s="169"/>
      <c r="AA21" s="168">
        <f>ROUND(SUM(AA19:AA20),5)</f>
        <v>108000</v>
      </c>
      <c r="AB21" s="169"/>
      <c r="AC21" s="168">
        <f>ROUND(SUM(AC19:AC20),5)</f>
        <v>108000</v>
      </c>
      <c r="AD21" s="169"/>
      <c r="AE21" s="168">
        <f>ROUND(SUM(G21:AC21),5)</f>
        <v>869616.86</v>
      </c>
    </row>
    <row r="22" spans="1:33" ht="15" thickBot="1">
      <c r="A22" s="167"/>
      <c r="B22" s="167"/>
      <c r="C22" s="167"/>
      <c r="D22" s="167"/>
      <c r="E22" s="167" t="s">
        <v>175</v>
      </c>
      <c r="F22" s="167"/>
      <c r="G22" s="168">
        <v>0</v>
      </c>
      <c r="H22" s="169"/>
      <c r="I22" s="168">
        <v>0</v>
      </c>
      <c r="J22" s="169"/>
      <c r="K22" s="168">
        <v>4455.2299999999996</v>
      </c>
      <c r="L22" s="169"/>
      <c r="M22" s="168">
        <v>0</v>
      </c>
      <c r="N22" s="169"/>
      <c r="O22" s="168">
        <v>0</v>
      </c>
      <c r="P22" s="169"/>
      <c r="Q22" s="168">
        <v>0</v>
      </c>
      <c r="R22" s="169"/>
      <c r="S22" s="168">
        <v>0</v>
      </c>
      <c r="T22" s="169"/>
      <c r="U22" s="168">
        <v>0</v>
      </c>
      <c r="V22" s="169"/>
      <c r="W22" s="168">
        <v>0</v>
      </c>
      <c r="X22" s="169"/>
      <c r="Y22" s="168">
        <v>0</v>
      </c>
      <c r="Z22" s="169"/>
      <c r="AA22" s="168">
        <v>0</v>
      </c>
      <c r="AB22" s="169"/>
      <c r="AC22" s="168">
        <v>0</v>
      </c>
      <c r="AD22" s="169"/>
      <c r="AE22" s="168">
        <f>ROUND(SUM(G22:AC22),5)</f>
        <v>4455.2299999999996</v>
      </c>
    </row>
    <row r="23" spans="1:33" ht="15" thickBot="1">
      <c r="A23" s="167"/>
      <c r="B23" s="167"/>
      <c r="C23" s="167"/>
      <c r="D23" s="167" t="s">
        <v>176</v>
      </c>
      <c r="E23" s="167"/>
      <c r="F23" s="167"/>
      <c r="G23" s="171">
        <f>ROUND(G3+G7+G11+G18+SUM(G21:G22),5)</f>
        <v>211135.58</v>
      </c>
      <c r="H23" s="169"/>
      <c r="I23" s="171">
        <f>ROUND(I3+I7+I11+I18+SUM(I21:I22),5)</f>
        <v>233283.86</v>
      </c>
      <c r="J23" s="169"/>
      <c r="K23" s="171">
        <f>ROUND(K3+K7+K11+K18+SUM(K21:K22),5)</f>
        <v>222595.53</v>
      </c>
      <c r="L23" s="169"/>
      <c r="M23" s="171">
        <f>ROUND(M3+M7+M11+M18+SUM(M21:M22),5)</f>
        <v>219783.92</v>
      </c>
      <c r="N23" s="169"/>
      <c r="O23" s="171">
        <f>ROUND(O3+O7+O11+O18+SUM(O21:O22),5)</f>
        <v>326140.3</v>
      </c>
      <c r="P23" s="169"/>
      <c r="Q23" s="171">
        <f>ROUND(Q3+Q7+Q11+Q18+SUM(Q21:Q22),5)</f>
        <v>326140.3</v>
      </c>
      <c r="R23" s="169"/>
      <c r="S23" s="171">
        <f>ROUND(S3+S7+S11+S18+SUM(S21:S22),5)</f>
        <v>326140.3</v>
      </c>
      <c r="T23" s="169"/>
      <c r="U23" s="171">
        <f>ROUND(U3+U7+U11+U18+SUM(U21:U22),5)</f>
        <v>326140.3</v>
      </c>
      <c r="V23" s="169"/>
      <c r="W23" s="171">
        <f>ROUND(W3+W7+W11+W18+SUM(W21:W22),5)</f>
        <v>326140.3</v>
      </c>
      <c r="X23" s="169"/>
      <c r="Y23" s="171">
        <f>ROUND(Y3+Y7+Y11+Y18+SUM(Y21:Y22),5)</f>
        <v>326140.3</v>
      </c>
      <c r="Z23" s="169"/>
      <c r="AA23" s="171">
        <f>ROUND(AA3+AA7+AA11+AA18+SUM(AA21:AA22),5)</f>
        <v>326140.3</v>
      </c>
      <c r="AB23" s="169"/>
      <c r="AC23" s="171">
        <f>ROUND(AC3+AC7+AC11+AC18+SUM(AC21:AC22),5)</f>
        <v>326140.3</v>
      </c>
      <c r="AD23" s="169"/>
      <c r="AE23" s="171">
        <f>ROUND(SUM(G23:AC23),5)</f>
        <v>3495921.29</v>
      </c>
    </row>
    <row r="24" spans="1:33">
      <c r="A24" s="167"/>
      <c r="B24" s="167"/>
      <c r="C24" s="167" t="s">
        <v>177</v>
      </c>
      <c r="D24" s="167"/>
      <c r="E24" s="167"/>
      <c r="F24" s="167"/>
      <c r="G24" s="168">
        <f>G23</f>
        <v>211135.58</v>
      </c>
      <c r="H24" s="169"/>
      <c r="I24" s="168">
        <f>I23</f>
        <v>233283.86</v>
      </c>
      <c r="J24" s="169"/>
      <c r="K24" s="168">
        <f>K23</f>
        <v>222595.53</v>
      </c>
      <c r="L24" s="169"/>
      <c r="M24" s="168">
        <f>M23</f>
        <v>219783.92</v>
      </c>
      <c r="N24" s="169"/>
      <c r="O24" s="168">
        <f>O23</f>
        <v>326140.3</v>
      </c>
      <c r="P24" s="169"/>
      <c r="Q24" s="168">
        <f>Q23</f>
        <v>326140.3</v>
      </c>
      <c r="R24" s="169"/>
      <c r="S24" s="168">
        <f>S23</f>
        <v>326140.3</v>
      </c>
      <c r="T24" s="169"/>
      <c r="U24" s="168">
        <f>U23</f>
        <v>326140.3</v>
      </c>
      <c r="V24" s="169"/>
      <c r="W24" s="168">
        <f>W23</f>
        <v>326140.3</v>
      </c>
      <c r="X24" s="169"/>
      <c r="Y24" s="168">
        <f>Y23</f>
        <v>326140.3</v>
      </c>
      <c r="Z24" s="169"/>
      <c r="AA24" s="168">
        <f>AA23</f>
        <v>326140.3</v>
      </c>
      <c r="AB24" s="169"/>
      <c r="AC24" s="168">
        <f>AC23</f>
        <v>326140.3</v>
      </c>
      <c r="AD24" s="169"/>
      <c r="AE24" s="168">
        <f>ROUND(SUM(G24:AC24),5)</f>
        <v>3495921.29</v>
      </c>
    </row>
    <row r="25" spans="1:33">
      <c r="A25" s="167"/>
      <c r="B25" s="167"/>
      <c r="C25" s="167"/>
      <c r="D25" s="167" t="s">
        <v>178</v>
      </c>
      <c r="E25" s="167"/>
      <c r="F25" s="167"/>
      <c r="G25" s="168"/>
      <c r="H25" s="169"/>
      <c r="I25" s="168"/>
      <c r="J25" s="169"/>
      <c r="K25" s="168"/>
      <c r="L25" s="169"/>
      <c r="M25" s="168"/>
      <c r="N25" s="169"/>
      <c r="O25" s="168"/>
      <c r="P25" s="169"/>
      <c r="Q25" s="168"/>
      <c r="R25" s="169"/>
      <c r="S25" s="168"/>
      <c r="T25" s="169"/>
      <c r="U25" s="168"/>
      <c r="V25" s="169"/>
      <c r="W25" s="168"/>
      <c r="X25" s="169"/>
      <c r="Y25" s="168"/>
      <c r="Z25" s="169"/>
      <c r="AA25" s="168"/>
      <c r="AB25" s="169"/>
      <c r="AC25" s="168"/>
      <c r="AD25" s="169"/>
      <c r="AE25" s="168"/>
    </row>
    <row r="26" spans="1:33">
      <c r="A26" s="167"/>
      <c r="B26" s="167"/>
      <c r="C26" s="167"/>
      <c r="D26" s="167"/>
      <c r="E26" s="167" t="s">
        <v>179</v>
      </c>
      <c r="F26" s="167"/>
      <c r="G26" s="168"/>
      <c r="H26" s="169"/>
      <c r="I26" s="168"/>
      <c r="J26" s="169"/>
      <c r="K26" s="168"/>
      <c r="L26" s="169"/>
      <c r="M26" s="168"/>
      <c r="N26" s="169"/>
      <c r="O26" s="168"/>
      <c r="P26" s="169"/>
      <c r="Q26" s="168"/>
      <c r="R26" s="169"/>
      <c r="S26" s="168"/>
      <c r="T26" s="169"/>
      <c r="U26" s="168"/>
      <c r="V26" s="169"/>
      <c r="W26" s="168"/>
      <c r="X26" s="169"/>
      <c r="Y26" s="168"/>
      <c r="Z26" s="169"/>
      <c r="AA26" s="168"/>
      <c r="AB26" s="169"/>
      <c r="AC26" s="168"/>
      <c r="AD26" s="169"/>
      <c r="AE26" s="168"/>
    </row>
    <row r="27" spans="1:33">
      <c r="A27" s="167"/>
      <c r="B27" s="167"/>
      <c r="C27" s="167"/>
      <c r="D27" s="167"/>
      <c r="E27" s="167"/>
      <c r="F27" s="167" t="s">
        <v>180</v>
      </c>
      <c r="G27" s="168">
        <v>7761.8</v>
      </c>
      <c r="H27" s="169"/>
      <c r="I27" s="168">
        <v>10636.8</v>
      </c>
      <c r="J27" s="169"/>
      <c r="K27" s="168">
        <v>15428.48</v>
      </c>
      <c r="L27" s="169"/>
      <c r="M27" s="168">
        <v>15428.48</v>
      </c>
      <c r="N27" s="169"/>
      <c r="O27" s="168">
        <v>15428.48</v>
      </c>
      <c r="P27" s="169"/>
      <c r="Q27" s="168">
        <v>15428.48</v>
      </c>
      <c r="R27" s="169"/>
      <c r="S27" s="168">
        <v>15428.48</v>
      </c>
      <c r="T27" s="169"/>
      <c r="U27" s="168">
        <v>15428.48</v>
      </c>
      <c r="V27" s="169"/>
      <c r="W27" s="168">
        <v>15428.48</v>
      </c>
      <c r="X27" s="169"/>
      <c r="Y27" s="168">
        <v>15428.48</v>
      </c>
      <c r="Z27" s="169"/>
      <c r="AA27" s="168">
        <v>15428.48</v>
      </c>
      <c r="AB27" s="169"/>
      <c r="AC27" s="168">
        <v>15428.48</v>
      </c>
      <c r="AD27" s="169"/>
      <c r="AE27" s="168">
        <f t="shared" ref="AE27:AE33" si="1">ROUND(SUM(G27:AC27),5)</f>
        <v>172683.4</v>
      </c>
    </row>
    <row r="28" spans="1:33">
      <c r="A28" s="167"/>
      <c r="B28" s="167"/>
      <c r="C28" s="167"/>
      <c r="D28" s="167"/>
      <c r="E28" s="167"/>
      <c r="F28" s="167" t="s">
        <v>181</v>
      </c>
      <c r="G28" s="168">
        <v>4155.2</v>
      </c>
      <c r="H28" s="169"/>
      <c r="I28" s="168">
        <v>4155.2</v>
      </c>
      <c r="J28" s="169"/>
      <c r="K28" s="168">
        <v>188.87</v>
      </c>
      <c r="L28" s="169"/>
      <c r="M28" s="168">
        <v>188.87</v>
      </c>
      <c r="N28" s="169"/>
      <c r="O28" s="168">
        <v>188.87</v>
      </c>
      <c r="P28" s="169"/>
      <c r="Q28" s="168">
        <v>188.87</v>
      </c>
      <c r="R28" s="169"/>
      <c r="S28" s="168">
        <v>188.87</v>
      </c>
      <c r="T28" s="169"/>
      <c r="U28" s="168">
        <v>188.87</v>
      </c>
      <c r="V28" s="169"/>
      <c r="W28" s="168">
        <v>188.87</v>
      </c>
      <c r="X28" s="169"/>
      <c r="Y28" s="168">
        <v>188.87</v>
      </c>
      <c r="Z28" s="169"/>
      <c r="AA28" s="168">
        <v>188.87</v>
      </c>
      <c r="AB28" s="169"/>
      <c r="AC28" s="168">
        <v>188.87</v>
      </c>
      <c r="AD28" s="169"/>
      <c r="AE28" s="168">
        <f t="shared" si="1"/>
        <v>10199.1</v>
      </c>
    </row>
    <row r="29" spans="1:33">
      <c r="A29" s="167"/>
      <c r="B29" s="167"/>
      <c r="C29" s="167"/>
      <c r="D29" s="167"/>
      <c r="E29" s="167"/>
      <c r="F29" s="167" t="s">
        <v>185</v>
      </c>
      <c r="G29" s="168">
        <v>7810.84</v>
      </c>
      <c r="H29" s="169"/>
      <c r="I29" s="168">
        <v>14784.17</v>
      </c>
      <c r="J29" s="169"/>
      <c r="K29" s="168">
        <v>13041.66</v>
      </c>
      <c r="L29" s="169"/>
      <c r="M29" s="168">
        <v>13041.66</v>
      </c>
      <c r="N29" s="169"/>
      <c r="O29" s="168">
        <v>13041.66</v>
      </c>
      <c r="P29" s="169"/>
      <c r="Q29" s="168">
        <v>13041.66</v>
      </c>
      <c r="R29" s="169"/>
      <c r="S29" s="168">
        <v>13041.66</v>
      </c>
      <c r="T29" s="169"/>
      <c r="U29" s="168">
        <v>13041.66</v>
      </c>
      <c r="V29" s="169"/>
      <c r="W29" s="168">
        <v>13041.66</v>
      </c>
      <c r="X29" s="169"/>
      <c r="Y29" s="168">
        <v>13041.66</v>
      </c>
      <c r="Z29" s="169"/>
      <c r="AA29" s="168">
        <v>13041.66</v>
      </c>
      <c r="AB29" s="169"/>
      <c r="AC29" s="168">
        <v>13041.66</v>
      </c>
      <c r="AD29" s="169"/>
      <c r="AE29" s="168">
        <f t="shared" si="1"/>
        <v>153011.60999999999</v>
      </c>
    </row>
    <row r="30" spans="1:33">
      <c r="A30" s="167"/>
      <c r="B30" s="167"/>
      <c r="C30" s="167"/>
      <c r="D30" s="167"/>
      <c r="E30" s="167"/>
      <c r="F30" s="167" t="s">
        <v>265</v>
      </c>
      <c r="G30" s="168">
        <v>4806.67</v>
      </c>
      <c r="H30" s="169"/>
      <c r="I30" s="168">
        <v>4806.67</v>
      </c>
      <c r="J30" s="169"/>
      <c r="K30" s="168">
        <v>4806.66</v>
      </c>
      <c r="L30" s="169"/>
      <c r="M30" s="168">
        <v>4806.66</v>
      </c>
      <c r="N30" s="169"/>
      <c r="O30" s="168">
        <v>4806.66</v>
      </c>
      <c r="P30" s="169"/>
      <c r="Q30" s="168">
        <v>4806.66</v>
      </c>
      <c r="R30" s="169"/>
      <c r="S30" s="168">
        <v>4806.66</v>
      </c>
      <c r="T30" s="169"/>
      <c r="U30" s="168">
        <v>4806.66</v>
      </c>
      <c r="V30" s="169"/>
      <c r="W30" s="168">
        <v>4806.66</v>
      </c>
      <c r="X30" s="169"/>
      <c r="Y30" s="168">
        <v>4806.66</v>
      </c>
      <c r="Z30" s="169"/>
      <c r="AA30" s="168">
        <v>4806.66</v>
      </c>
      <c r="AB30" s="169"/>
      <c r="AC30" s="168">
        <v>4806.66</v>
      </c>
      <c r="AD30" s="169"/>
      <c r="AE30" s="168">
        <f t="shared" si="1"/>
        <v>57679.94</v>
      </c>
    </row>
    <row r="31" spans="1:33">
      <c r="A31" s="167"/>
      <c r="B31" s="167"/>
      <c r="C31" s="167"/>
      <c r="D31" s="167"/>
      <c r="E31" s="167"/>
      <c r="F31" s="167" t="s">
        <v>187</v>
      </c>
      <c r="G31" s="168">
        <v>3182.7</v>
      </c>
      <c r="H31" s="169"/>
      <c r="I31" s="168">
        <v>3182.7</v>
      </c>
      <c r="J31" s="169"/>
      <c r="K31" s="168">
        <v>3182.7</v>
      </c>
      <c r="L31" s="169"/>
      <c r="M31" s="168">
        <v>3182.7</v>
      </c>
      <c r="N31" s="169"/>
      <c r="O31" s="168">
        <v>3182.7</v>
      </c>
      <c r="P31" s="169"/>
      <c r="Q31" s="168">
        <v>3182.7</v>
      </c>
      <c r="R31" s="169"/>
      <c r="S31" s="168">
        <v>3182.7</v>
      </c>
      <c r="T31" s="169"/>
      <c r="U31" s="168">
        <v>3182.7</v>
      </c>
      <c r="V31" s="169"/>
      <c r="W31" s="168">
        <v>3182.7</v>
      </c>
      <c r="X31" s="169"/>
      <c r="Y31" s="168">
        <v>3182.7</v>
      </c>
      <c r="Z31" s="169"/>
      <c r="AA31" s="168">
        <v>3182.7</v>
      </c>
      <c r="AB31" s="169"/>
      <c r="AC31" s="168">
        <v>3182.7</v>
      </c>
      <c r="AD31" s="169"/>
      <c r="AE31" s="168">
        <f t="shared" si="1"/>
        <v>38192.400000000001</v>
      </c>
    </row>
    <row r="32" spans="1:33" ht="15" thickBot="1">
      <c r="A32" s="167"/>
      <c r="B32" s="167"/>
      <c r="C32" s="167"/>
      <c r="D32" s="167"/>
      <c r="E32" s="167"/>
      <c r="F32" s="167" t="s">
        <v>188</v>
      </c>
      <c r="G32" s="170">
        <v>6250</v>
      </c>
      <c r="H32" s="169"/>
      <c r="I32" s="170">
        <v>11250</v>
      </c>
      <c r="J32" s="169"/>
      <c r="K32" s="170">
        <v>11250</v>
      </c>
      <c r="L32" s="169"/>
      <c r="M32" s="170">
        <v>11250</v>
      </c>
      <c r="N32" s="169"/>
      <c r="O32" s="170">
        <v>11250</v>
      </c>
      <c r="P32" s="169"/>
      <c r="Q32" s="170">
        <v>11250</v>
      </c>
      <c r="R32" s="169"/>
      <c r="S32" s="170">
        <v>11250</v>
      </c>
      <c r="T32" s="169"/>
      <c r="U32" s="170">
        <v>11250</v>
      </c>
      <c r="V32" s="169"/>
      <c r="W32" s="170">
        <v>11250</v>
      </c>
      <c r="X32" s="169"/>
      <c r="Y32" s="170">
        <v>11250</v>
      </c>
      <c r="Z32" s="169"/>
      <c r="AA32" s="170">
        <v>11250</v>
      </c>
      <c r="AB32" s="169"/>
      <c r="AC32" s="170">
        <v>11250</v>
      </c>
      <c r="AD32" s="169"/>
      <c r="AE32" s="170">
        <f t="shared" si="1"/>
        <v>130000</v>
      </c>
    </row>
    <row r="33" spans="1:32">
      <c r="A33" s="167"/>
      <c r="B33" s="167"/>
      <c r="C33" s="167"/>
      <c r="D33" s="167"/>
      <c r="E33" s="167" t="s">
        <v>189</v>
      </c>
      <c r="F33" s="167"/>
      <c r="G33" s="168">
        <f>ROUND(SUM(G26:G32),5)</f>
        <v>33967.21</v>
      </c>
      <c r="H33" s="169"/>
      <c r="I33" s="168">
        <f>ROUND(SUM(I26:I32),5)</f>
        <v>48815.54</v>
      </c>
      <c r="J33" s="169"/>
      <c r="K33" s="168">
        <f>ROUND(SUM(K26:K32),5)</f>
        <v>47898.37</v>
      </c>
      <c r="L33" s="169"/>
      <c r="M33" s="168">
        <f>ROUND(SUM(M26:M32),5)</f>
        <v>47898.37</v>
      </c>
      <c r="N33" s="169"/>
      <c r="O33" s="168">
        <f>ROUND(SUM(O26:O32),5)</f>
        <v>47898.37</v>
      </c>
      <c r="P33" s="169"/>
      <c r="Q33" s="168">
        <f>ROUND(SUM(Q26:Q32),5)</f>
        <v>47898.37</v>
      </c>
      <c r="R33" s="169"/>
      <c r="S33" s="168">
        <f>ROUND(SUM(S26:S32),5)</f>
        <v>47898.37</v>
      </c>
      <c r="T33" s="169"/>
      <c r="U33" s="168">
        <f>ROUND(SUM(U26:U32),5)</f>
        <v>47898.37</v>
      </c>
      <c r="V33" s="169"/>
      <c r="W33" s="168">
        <f>ROUND(SUM(W26:W32),5)</f>
        <v>47898.37</v>
      </c>
      <c r="X33" s="169"/>
      <c r="Y33" s="168">
        <f>ROUND(SUM(Y26:Y32),5)</f>
        <v>47898.37</v>
      </c>
      <c r="Z33" s="169"/>
      <c r="AA33" s="168">
        <f>ROUND(SUM(AA26:AA32),5)</f>
        <v>47898.37</v>
      </c>
      <c r="AB33" s="169"/>
      <c r="AC33" s="168">
        <f>ROUND(SUM(AC26:AC32),5)</f>
        <v>47898.37</v>
      </c>
      <c r="AD33" s="169"/>
      <c r="AE33" s="168">
        <f t="shared" si="1"/>
        <v>561766.44999999995</v>
      </c>
    </row>
    <row r="34" spans="1:32">
      <c r="A34" s="167"/>
      <c r="B34" s="167"/>
      <c r="C34" s="167"/>
      <c r="D34" s="167"/>
      <c r="E34" s="167" t="s">
        <v>190</v>
      </c>
      <c r="F34" s="167"/>
      <c r="G34" s="168"/>
      <c r="H34" s="169"/>
      <c r="I34" s="168"/>
      <c r="J34" s="169"/>
      <c r="K34" s="168"/>
      <c r="L34" s="169"/>
      <c r="M34" s="168"/>
      <c r="N34" s="169"/>
      <c r="O34" s="168"/>
      <c r="P34" s="169"/>
      <c r="Q34" s="168"/>
      <c r="R34" s="169"/>
      <c r="S34" s="168"/>
      <c r="T34" s="169"/>
      <c r="U34" s="168"/>
      <c r="V34" s="169"/>
      <c r="W34" s="168"/>
      <c r="X34" s="169"/>
      <c r="Y34" s="168"/>
      <c r="Z34" s="169"/>
      <c r="AA34" s="168"/>
      <c r="AB34" s="169"/>
      <c r="AC34" s="168"/>
      <c r="AD34" s="169"/>
      <c r="AE34" s="168"/>
    </row>
    <row r="35" spans="1:32">
      <c r="A35" s="167"/>
      <c r="B35" s="167"/>
      <c r="C35" s="167"/>
      <c r="D35" s="167"/>
      <c r="E35" s="167"/>
      <c r="F35" s="167" t="s">
        <v>191</v>
      </c>
      <c r="G35" s="168">
        <v>2543.39</v>
      </c>
      <c r="H35" s="169"/>
      <c r="I35" s="168">
        <v>4287.55</v>
      </c>
      <c r="J35" s="169"/>
      <c r="K35" s="168">
        <v>4403.08</v>
      </c>
      <c r="L35" s="169"/>
      <c r="M35" s="168">
        <v>4287.55</v>
      </c>
      <c r="N35" s="169"/>
      <c r="O35" s="168">
        <v>4287.55</v>
      </c>
      <c r="P35" s="169"/>
      <c r="Q35" s="168">
        <v>4287.55</v>
      </c>
      <c r="R35" s="169"/>
      <c r="S35" s="168">
        <v>4287.55</v>
      </c>
      <c r="T35" s="169"/>
      <c r="U35" s="168">
        <v>4287.55</v>
      </c>
      <c r="V35" s="169"/>
      <c r="W35" s="168">
        <v>4287.55</v>
      </c>
      <c r="X35" s="169"/>
      <c r="Y35" s="168">
        <v>4287.55</v>
      </c>
      <c r="Z35" s="169"/>
      <c r="AA35" s="168">
        <v>4287.55</v>
      </c>
      <c r="AB35" s="169"/>
      <c r="AC35" s="168">
        <v>4287.55</v>
      </c>
      <c r="AD35" s="169"/>
      <c r="AE35" s="168">
        <f t="shared" ref="AE35:AE41" si="2">ROUND(SUM(G35:AC35),5)</f>
        <v>49821.97</v>
      </c>
    </row>
    <row r="36" spans="1:32">
      <c r="A36" s="167"/>
      <c r="B36" s="167"/>
      <c r="C36" s="167"/>
      <c r="D36" s="167"/>
      <c r="E36" s="167"/>
      <c r="F36" s="167" t="s">
        <v>192</v>
      </c>
      <c r="G36" s="168">
        <v>2212.02</v>
      </c>
      <c r="H36" s="169"/>
      <c r="I36" s="168">
        <v>3074.37</v>
      </c>
      <c r="J36" s="169"/>
      <c r="K36" s="168">
        <v>2302.6999999999998</v>
      </c>
      <c r="L36" s="169"/>
      <c r="M36" s="168">
        <v>3074.37</v>
      </c>
      <c r="N36" s="169"/>
      <c r="O36" s="168">
        <v>3074.37</v>
      </c>
      <c r="P36" s="169"/>
      <c r="Q36" s="168">
        <v>3074.37</v>
      </c>
      <c r="R36" s="169"/>
      <c r="S36" s="168">
        <v>3074.37</v>
      </c>
      <c r="T36" s="169"/>
      <c r="U36" s="168">
        <v>3074.37</v>
      </c>
      <c r="V36" s="169"/>
      <c r="W36" s="168">
        <v>3074.37</v>
      </c>
      <c r="X36" s="169"/>
      <c r="Y36" s="168">
        <v>3074.37</v>
      </c>
      <c r="Z36" s="169"/>
      <c r="AA36" s="168">
        <v>3074.37</v>
      </c>
      <c r="AB36" s="169"/>
      <c r="AC36" s="168">
        <v>3074.37</v>
      </c>
      <c r="AD36" s="169"/>
      <c r="AE36" s="168">
        <f t="shared" si="2"/>
        <v>35258.42</v>
      </c>
    </row>
    <row r="37" spans="1:32">
      <c r="A37" s="167"/>
      <c r="B37" s="167"/>
      <c r="C37" s="167"/>
      <c r="D37" s="167"/>
      <c r="E37" s="167"/>
      <c r="F37" s="167" t="s">
        <v>193</v>
      </c>
      <c r="G37" s="168">
        <v>12750.63</v>
      </c>
      <c r="H37" s="169"/>
      <c r="I37" s="168">
        <v>907.09</v>
      </c>
      <c r="J37" s="169"/>
      <c r="K37" s="168">
        <v>9542.93</v>
      </c>
      <c r="L37" s="169"/>
      <c r="M37" s="168">
        <v>907.09</v>
      </c>
      <c r="N37" s="169"/>
      <c r="O37" s="168">
        <v>907.09</v>
      </c>
      <c r="P37" s="169"/>
      <c r="Q37" s="168">
        <v>907.09</v>
      </c>
      <c r="R37" s="169"/>
      <c r="S37" s="168">
        <v>907.09</v>
      </c>
      <c r="T37" s="169"/>
      <c r="U37" s="168">
        <v>907.09</v>
      </c>
      <c r="V37" s="169"/>
      <c r="W37" s="168">
        <v>907.09</v>
      </c>
      <c r="X37" s="169"/>
      <c r="Y37" s="168">
        <v>907.09</v>
      </c>
      <c r="Z37" s="169"/>
      <c r="AA37" s="168">
        <v>907.09</v>
      </c>
      <c r="AB37" s="169"/>
      <c r="AC37" s="168">
        <v>907.09</v>
      </c>
      <c r="AD37" s="169"/>
      <c r="AE37" s="168">
        <f t="shared" si="2"/>
        <v>31364.46</v>
      </c>
    </row>
    <row r="38" spans="1:32">
      <c r="A38" s="167"/>
      <c r="B38" s="167"/>
      <c r="C38" s="167"/>
      <c r="D38" s="167"/>
      <c r="E38" s="167"/>
      <c r="F38" s="167" t="s">
        <v>194</v>
      </c>
      <c r="G38" s="168">
        <v>0</v>
      </c>
      <c r="H38" s="169"/>
      <c r="I38" s="168">
        <v>0</v>
      </c>
      <c r="J38" s="169"/>
      <c r="K38" s="168">
        <v>0</v>
      </c>
      <c r="L38" s="169"/>
      <c r="M38" s="168">
        <v>0</v>
      </c>
      <c r="N38" s="169"/>
      <c r="O38" s="168">
        <v>0</v>
      </c>
      <c r="P38" s="169"/>
      <c r="Q38" s="168">
        <v>0</v>
      </c>
      <c r="R38" s="169"/>
      <c r="S38" s="168">
        <v>0</v>
      </c>
      <c r="T38" s="169"/>
      <c r="U38" s="168">
        <v>0</v>
      </c>
      <c r="V38" s="169"/>
      <c r="W38" s="168">
        <v>0</v>
      </c>
      <c r="X38" s="169"/>
      <c r="Y38" s="168">
        <v>0</v>
      </c>
      <c r="Z38" s="169"/>
      <c r="AA38" s="168">
        <v>0</v>
      </c>
      <c r="AB38" s="169"/>
      <c r="AC38" s="168">
        <v>0</v>
      </c>
      <c r="AD38" s="169"/>
      <c r="AE38" s="168">
        <f t="shared" si="2"/>
        <v>0</v>
      </c>
    </row>
    <row r="39" spans="1:32">
      <c r="A39" s="167"/>
      <c r="B39" s="167"/>
      <c r="C39" s="167"/>
      <c r="D39" s="167"/>
      <c r="E39" s="167"/>
      <c r="F39" s="167" t="s">
        <v>195</v>
      </c>
      <c r="G39" s="168">
        <v>0</v>
      </c>
      <c r="H39" s="169"/>
      <c r="I39" s="168">
        <v>599.41999999999996</v>
      </c>
      <c r="J39" s="169"/>
      <c r="K39" s="168">
        <v>0</v>
      </c>
      <c r="L39" s="169"/>
      <c r="M39" s="168">
        <v>599.41999999999996</v>
      </c>
      <c r="N39" s="169"/>
      <c r="O39" s="168">
        <v>599.41999999999996</v>
      </c>
      <c r="P39" s="169"/>
      <c r="Q39" s="168">
        <v>599.41999999999996</v>
      </c>
      <c r="R39" s="169"/>
      <c r="S39" s="168">
        <v>599.41999999999996</v>
      </c>
      <c r="T39" s="169"/>
      <c r="U39" s="168">
        <v>599.41999999999996</v>
      </c>
      <c r="V39" s="169"/>
      <c r="W39" s="168">
        <v>599.41999999999996</v>
      </c>
      <c r="X39" s="169"/>
      <c r="Y39" s="168">
        <v>599.41999999999996</v>
      </c>
      <c r="Z39" s="169"/>
      <c r="AA39" s="168">
        <v>599.41999999999996</v>
      </c>
      <c r="AB39" s="169"/>
      <c r="AC39" s="168">
        <v>599.41999999999996</v>
      </c>
      <c r="AD39" s="169"/>
      <c r="AE39" s="168">
        <f t="shared" si="2"/>
        <v>5994.2</v>
      </c>
    </row>
    <row r="40" spans="1:32" ht="15" thickBot="1">
      <c r="A40" s="167"/>
      <c r="B40" s="167"/>
      <c r="C40" s="167"/>
      <c r="D40" s="167"/>
      <c r="E40" s="167"/>
      <c r="F40" s="167" t="s">
        <v>196</v>
      </c>
      <c r="G40" s="170">
        <v>168.75</v>
      </c>
      <c r="H40" s="169"/>
      <c r="I40" s="170">
        <v>523.13</v>
      </c>
      <c r="J40" s="169"/>
      <c r="K40" s="170">
        <v>543.69000000000005</v>
      </c>
      <c r="L40" s="169"/>
      <c r="M40" s="170">
        <v>523.13</v>
      </c>
      <c r="N40" s="169"/>
      <c r="O40" s="170">
        <v>523.13</v>
      </c>
      <c r="P40" s="169"/>
      <c r="Q40" s="170">
        <v>523.13</v>
      </c>
      <c r="R40" s="169"/>
      <c r="S40" s="170">
        <v>523.13</v>
      </c>
      <c r="T40" s="169"/>
      <c r="U40" s="170">
        <v>523.13</v>
      </c>
      <c r="V40" s="169"/>
      <c r="W40" s="170">
        <v>523.13</v>
      </c>
      <c r="X40" s="169"/>
      <c r="Y40" s="170">
        <v>523.13</v>
      </c>
      <c r="Z40" s="169"/>
      <c r="AA40" s="170">
        <v>523.13</v>
      </c>
      <c r="AB40" s="169"/>
      <c r="AC40" s="170">
        <v>523.13</v>
      </c>
      <c r="AD40" s="169"/>
      <c r="AE40" s="170">
        <f t="shared" si="2"/>
        <v>5943.74</v>
      </c>
    </row>
    <row r="41" spans="1:32">
      <c r="A41" s="167"/>
      <c r="B41" s="167"/>
      <c r="C41" s="167"/>
      <c r="D41" s="167"/>
      <c r="E41" s="167" t="s">
        <v>197</v>
      </c>
      <c r="F41" s="167"/>
      <c r="G41" s="168">
        <f>ROUND(SUM(G34:G40),5)</f>
        <v>17674.79</v>
      </c>
      <c r="H41" s="169"/>
      <c r="I41" s="168">
        <f>ROUND(SUM(I34:I40),5)</f>
        <v>9391.56</v>
      </c>
      <c r="J41" s="169"/>
      <c r="K41" s="168">
        <f>ROUND(SUM(K34:K40),5)</f>
        <v>16792.400000000001</v>
      </c>
      <c r="L41" s="169"/>
      <c r="M41" s="168">
        <f>ROUND(SUM(M34:M40),5)</f>
        <v>9391.56</v>
      </c>
      <c r="N41" s="169"/>
      <c r="O41" s="168">
        <f>ROUND(SUM(O34:O40),5)</f>
        <v>9391.56</v>
      </c>
      <c r="P41" s="169"/>
      <c r="Q41" s="168">
        <f>ROUND(SUM(Q34:Q40),5)</f>
        <v>9391.56</v>
      </c>
      <c r="R41" s="169"/>
      <c r="S41" s="168">
        <f>ROUND(SUM(S34:S40),5)</f>
        <v>9391.56</v>
      </c>
      <c r="T41" s="169"/>
      <c r="U41" s="168">
        <f>ROUND(SUM(U34:U40),5)</f>
        <v>9391.56</v>
      </c>
      <c r="V41" s="169"/>
      <c r="W41" s="168">
        <f>ROUND(SUM(W34:W40),5)</f>
        <v>9391.56</v>
      </c>
      <c r="X41" s="169"/>
      <c r="Y41" s="168">
        <f>ROUND(SUM(Y34:Y40),5)</f>
        <v>9391.56</v>
      </c>
      <c r="Z41" s="169"/>
      <c r="AA41" s="168">
        <f>ROUND(SUM(AA34:AA40),5)</f>
        <v>9391.56</v>
      </c>
      <c r="AB41" s="169"/>
      <c r="AC41" s="168">
        <f>ROUND(SUM(AC34:AC40),5)</f>
        <v>9391.56</v>
      </c>
      <c r="AD41" s="169"/>
      <c r="AE41" s="168">
        <f t="shared" si="2"/>
        <v>128382.79</v>
      </c>
    </row>
    <row r="42" spans="1:32">
      <c r="A42" s="167"/>
      <c r="B42" s="167"/>
      <c r="C42" s="167"/>
      <c r="D42" s="167"/>
      <c r="E42" s="167" t="s">
        <v>198</v>
      </c>
      <c r="F42" s="167"/>
      <c r="G42" s="168"/>
      <c r="H42" s="169"/>
      <c r="I42" s="168"/>
      <c r="J42" s="169"/>
      <c r="K42" s="168"/>
      <c r="L42" s="169"/>
      <c r="M42" s="168"/>
      <c r="N42" s="169"/>
      <c r="O42" s="168"/>
      <c r="P42" s="169"/>
      <c r="Q42" s="168"/>
      <c r="R42" s="169"/>
      <c r="S42" s="168"/>
      <c r="T42" s="169"/>
      <c r="U42" s="168"/>
      <c r="V42" s="169"/>
      <c r="W42" s="168"/>
      <c r="X42" s="169"/>
      <c r="Y42" s="168"/>
      <c r="Z42" s="169"/>
      <c r="AA42" s="168"/>
      <c r="AB42" s="169"/>
      <c r="AC42" s="168"/>
      <c r="AD42" s="169"/>
      <c r="AE42" s="168"/>
    </row>
    <row r="43" spans="1:32">
      <c r="A43" s="167"/>
      <c r="B43" s="167"/>
      <c r="C43" s="167"/>
      <c r="D43" s="167"/>
      <c r="E43" s="167"/>
      <c r="F43" s="167" t="s">
        <v>199</v>
      </c>
      <c r="G43" s="168">
        <v>0</v>
      </c>
      <c r="H43" s="169"/>
      <c r="I43" s="168">
        <v>1350</v>
      </c>
      <c r="J43" s="169"/>
      <c r="K43" s="168">
        <v>30750</v>
      </c>
      <c r="L43" s="169"/>
      <c r="M43" s="168">
        <v>0</v>
      </c>
      <c r="N43" s="169"/>
      <c r="O43" s="168">
        <v>0</v>
      </c>
      <c r="P43" s="169"/>
      <c r="Q43" s="168">
        <v>0</v>
      </c>
      <c r="R43" s="169"/>
      <c r="S43" s="168">
        <v>0</v>
      </c>
      <c r="T43" s="169"/>
      <c r="U43" s="168">
        <v>0</v>
      </c>
      <c r="V43" s="169"/>
      <c r="W43" s="168">
        <v>0</v>
      </c>
      <c r="X43" s="169"/>
      <c r="Y43" s="168">
        <v>0</v>
      </c>
      <c r="Z43" s="169"/>
      <c r="AA43" s="168">
        <v>0</v>
      </c>
      <c r="AB43" s="169"/>
      <c r="AC43" s="168">
        <v>0</v>
      </c>
      <c r="AD43" s="169"/>
      <c r="AE43" s="168">
        <f t="shared" ref="AE43:AE72" si="3">ROUND(SUM(G43:AC43),5)</f>
        <v>32100</v>
      </c>
    </row>
    <row r="44" spans="1:32">
      <c r="A44" s="167"/>
      <c r="B44" s="167"/>
      <c r="C44" s="167"/>
      <c r="D44" s="167"/>
      <c r="E44" s="167"/>
      <c r="F44" s="167" t="s">
        <v>200</v>
      </c>
      <c r="G44" s="168">
        <v>0</v>
      </c>
      <c r="H44" s="169"/>
      <c r="I44" s="168">
        <v>2195.4299999999998</v>
      </c>
      <c r="J44" s="169"/>
      <c r="K44" s="168">
        <v>0</v>
      </c>
      <c r="L44" s="169"/>
      <c r="M44" s="168">
        <v>2195.4299999999998</v>
      </c>
      <c r="N44" s="169"/>
      <c r="O44" s="168">
        <v>0</v>
      </c>
      <c r="P44" s="169"/>
      <c r="Q44" s="168">
        <v>0</v>
      </c>
      <c r="R44" s="169"/>
      <c r="S44" s="168">
        <v>2195.4299999999998</v>
      </c>
      <c r="T44" s="169"/>
      <c r="U44" s="168">
        <v>0</v>
      </c>
      <c r="V44" s="169"/>
      <c r="W44" s="168">
        <v>0</v>
      </c>
      <c r="X44" s="169"/>
      <c r="Y44" s="168">
        <v>2195.4299999999998</v>
      </c>
      <c r="Z44" s="169"/>
      <c r="AA44" s="168">
        <v>0</v>
      </c>
      <c r="AB44" s="169"/>
      <c r="AC44" s="168">
        <v>0</v>
      </c>
      <c r="AD44" s="169"/>
      <c r="AE44" s="168">
        <f t="shared" si="3"/>
        <v>8781.7199999999993</v>
      </c>
    </row>
    <row r="45" spans="1:32">
      <c r="A45" s="167"/>
      <c r="B45" s="167"/>
      <c r="C45" s="167"/>
      <c r="D45" s="167"/>
      <c r="E45" s="167"/>
      <c r="F45" s="167" t="s">
        <v>201</v>
      </c>
      <c r="G45" s="168">
        <v>0</v>
      </c>
      <c r="H45" s="169"/>
      <c r="I45" s="168">
        <v>0</v>
      </c>
      <c r="J45" s="169"/>
      <c r="K45" s="168">
        <v>2226.56</v>
      </c>
      <c r="L45" s="169"/>
      <c r="M45" s="168">
        <v>0</v>
      </c>
      <c r="N45" s="169"/>
      <c r="O45" s="168">
        <v>2226.56</v>
      </c>
      <c r="P45" s="169"/>
      <c r="Q45" s="168">
        <v>0</v>
      </c>
      <c r="R45" s="169"/>
      <c r="S45" s="168">
        <v>2226.56</v>
      </c>
      <c r="T45" s="169"/>
      <c r="U45" s="168">
        <v>0</v>
      </c>
      <c r="V45" s="169"/>
      <c r="W45" s="168">
        <v>2226.56</v>
      </c>
      <c r="X45" s="169"/>
      <c r="Y45" s="168">
        <v>0</v>
      </c>
      <c r="Z45" s="169"/>
      <c r="AA45" s="168">
        <v>2226.56</v>
      </c>
      <c r="AB45" s="169"/>
      <c r="AC45" s="168">
        <v>0</v>
      </c>
      <c r="AD45" s="169"/>
      <c r="AE45" s="168">
        <f t="shared" si="3"/>
        <v>11132.8</v>
      </c>
    </row>
    <row r="46" spans="1:32">
      <c r="A46" s="167"/>
      <c r="B46" s="167"/>
      <c r="C46" s="167"/>
      <c r="D46" s="167"/>
      <c r="E46" s="167"/>
      <c r="F46" s="167" t="s">
        <v>202</v>
      </c>
      <c r="G46" s="168">
        <v>29189.3</v>
      </c>
      <c r="H46" s="169"/>
      <c r="I46" s="168">
        <v>33050.82</v>
      </c>
      <c r="J46" s="169"/>
      <c r="K46" s="168">
        <v>30770.69</v>
      </c>
      <c r="L46" s="169"/>
      <c r="M46" s="168">
        <v>0</v>
      </c>
      <c r="N46" s="169"/>
      <c r="O46" s="168">
        <v>0</v>
      </c>
      <c r="P46" s="169"/>
      <c r="Q46" s="168">
        <v>0</v>
      </c>
      <c r="R46" s="169"/>
      <c r="S46" s="168">
        <v>0</v>
      </c>
      <c r="T46" s="169"/>
      <c r="U46" s="168">
        <v>0</v>
      </c>
      <c r="V46" s="169"/>
      <c r="W46" s="168">
        <v>0</v>
      </c>
      <c r="X46" s="169"/>
      <c r="Y46" s="168">
        <v>0</v>
      </c>
      <c r="Z46" s="169"/>
      <c r="AA46" s="168">
        <v>0</v>
      </c>
      <c r="AB46" s="169"/>
      <c r="AC46" s="168">
        <v>0</v>
      </c>
      <c r="AD46" s="169"/>
      <c r="AE46" s="168">
        <f t="shared" si="3"/>
        <v>93010.81</v>
      </c>
      <c r="AF46" s="179">
        <v>0.15</v>
      </c>
    </row>
    <row r="47" spans="1:32">
      <c r="A47" s="167"/>
      <c r="B47" s="167"/>
      <c r="C47" s="167"/>
      <c r="D47" s="167"/>
      <c r="E47" s="167"/>
      <c r="F47" s="167" t="s">
        <v>266</v>
      </c>
      <c r="G47" s="168">
        <v>0</v>
      </c>
      <c r="H47" s="169"/>
      <c r="J47" s="169"/>
      <c r="L47" s="169"/>
      <c r="M47" s="168">
        <v>0</v>
      </c>
      <c r="N47" s="169"/>
      <c r="O47" s="168">
        <v>0</v>
      </c>
      <c r="P47" s="169"/>
      <c r="Q47" s="168">
        <v>0</v>
      </c>
      <c r="R47" s="169"/>
      <c r="S47" s="168">
        <v>0</v>
      </c>
      <c r="T47" s="169"/>
      <c r="U47" s="168">
        <v>0</v>
      </c>
      <c r="V47" s="169"/>
      <c r="W47" s="168">
        <v>0</v>
      </c>
      <c r="X47" s="169"/>
      <c r="Y47" s="168">
        <v>0</v>
      </c>
      <c r="Z47" s="169"/>
      <c r="AA47" s="168">
        <v>0</v>
      </c>
      <c r="AB47" s="169"/>
      <c r="AC47" s="168">
        <v>0</v>
      </c>
      <c r="AD47" s="169"/>
      <c r="AE47" s="168">
        <f t="shared" si="3"/>
        <v>0</v>
      </c>
    </row>
    <row r="48" spans="1:32">
      <c r="A48" s="167"/>
      <c r="B48" s="167"/>
      <c r="C48" s="167"/>
      <c r="D48" s="167"/>
      <c r="E48" s="167"/>
      <c r="F48" s="167" t="s">
        <v>203</v>
      </c>
      <c r="G48" s="168">
        <v>5837.86</v>
      </c>
      <c r="H48" s="169"/>
      <c r="I48" s="168">
        <v>6610.16</v>
      </c>
      <c r="J48" s="169"/>
      <c r="K48" s="168">
        <v>6154.14</v>
      </c>
      <c r="L48" s="169"/>
      <c r="M48" s="168">
        <v>6154.14</v>
      </c>
      <c r="N48" s="181"/>
      <c r="O48" s="168">
        <v>6154.14</v>
      </c>
      <c r="P48" s="181"/>
      <c r="Q48" s="168">
        <v>6154.14</v>
      </c>
      <c r="R48" s="181"/>
      <c r="S48" s="168">
        <v>6154.14</v>
      </c>
      <c r="T48" s="181"/>
      <c r="U48" s="168">
        <v>6154.14</v>
      </c>
      <c r="V48" s="181"/>
      <c r="W48" s="168">
        <v>6154.14</v>
      </c>
      <c r="X48" s="181"/>
      <c r="Y48" s="168">
        <v>6154.14</v>
      </c>
      <c r="Z48" s="181"/>
      <c r="AA48" s="168">
        <v>6154.14</v>
      </c>
      <c r="AB48" s="181"/>
      <c r="AC48" s="168">
        <v>6154.14</v>
      </c>
      <c r="AD48" s="181"/>
      <c r="AE48" s="180">
        <f t="shared" si="3"/>
        <v>73989.42</v>
      </c>
      <c r="AF48" s="182"/>
    </row>
    <row r="49" spans="1:31">
      <c r="A49" s="167"/>
      <c r="B49" s="167"/>
      <c r="C49" s="167"/>
      <c r="D49" s="167"/>
      <c r="E49" s="167"/>
      <c r="F49" s="167" t="s">
        <v>204</v>
      </c>
      <c r="G49" s="168">
        <v>2042</v>
      </c>
      <c r="H49" s="169"/>
      <c r="I49" s="168">
        <v>2020.2</v>
      </c>
      <c r="J49" s="169"/>
      <c r="K49" s="168">
        <v>2020.2</v>
      </c>
      <c r="L49" s="169"/>
      <c r="M49" s="168">
        <v>2020.2</v>
      </c>
      <c r="N49" s="169"/>
      <c r="O49" s="168">
        <v>2020.2</v>
      </c>
      <c r="P49" s="169"/>
      <c r="Q49" s="168">
        <v>2020.2</v>
      </c>
      <c r="R49" s="169"/>
      <c r="S49" s="168">
        <v>2020.2</v>
      </c>
      <c r="T49" s="169"/>
      <c r="U49" s="168">
        <v>2020.2</v>
      </c>
      <c r="V49" s="169"/>
      <c r="W49" s="168">
        <v>2020.2</v>
      </c>
      <c r="X49" s="169"/>
      <c r="Y49" s="168">
        <v>2020.2</v>
      </c>
      <c r="Z49" s="169"/>
      <c r="AA49" s="168">
        <v>2020.2</v>
      </c>
      <c r="AB49" s="169"/>
      <c r="AC49" s="168">
        <v>2020.2</v>
      </c>
      <c r="AD49" s="169"/>
      <c r="AE49" s="168">
        <f t="shared" si="3"/>
        <v>24264.2</v>
      </c>
    </row>
    <row r="50" spans="1:31">
      <c r="A50" s="167"/>
      <c r="B50" s="167"/>
      <c r="C50" s="167"/>
      <c r="D50" s="167"/>
      <c r="E50" s="167"/>
      <c r="F50" s="167" t="s">
        <v>205</v>
      </c>
      <c r="G50" s="168">
        <v>1375</v>
      </c>
      <c r="H50" s="169"/>
      <c r="I50" s="168">
        <v>0</v>
      </c>
      <c r="J50" s="169"/>
      <c r="K50" s="168">
        <v>1375</v>
      </c>
      <c r="L50" s="169"/>
      <c r="M50" s="168">
        <v>1375</v>
      </c>
      <c r="N50" s="169"/>
      <c r="O50" s="168">
        <v>1375</v>
      </c>
      <c r="P50" s="169"/>
      <c r="Q50" s="168">
        <v>1375</v>
      </c>
      <c r="R50" s="169"/>
      <c r="S50" s="168">
        <v>1375</v>
      </c>
      <c r="T50" s="169"/>
      <c r="U50" s="168">
        <v>1375</v>
      </c>
      <c r="V50" s="169"/>
      <c r="W50" s="168">
        <v>1375</v>
      </c>
      <c r="X50" s="169"/>
      <c r="Y50" s="168">
        <v>1375</v>
      </c>
      <c r="Z50" s="169"/>
      <c r="AA50" s="168">
        <v>1375</v>
      </c>
      <c r="AB50" s="169"/>
      <c r="AC50" s="168">
        <v>1375</v>
      </c>
      <c r="AD50" s="169"/>
      <c r="AE50" s="168">
        <f t="shared" si="3"/>
        <v>15125</v>
      </c>
    </row>
    <row r="51" spans="1:31">
      <c r="A51" s="167"/>
      <c r="B51" s="167"/>
      <c r="C51" s="167"/>
      <c r="D51" s="167"/>
      <c r="E51" s="167"/>
      <c r="F51" s="167" t="s">
        <v>267</v>
      </c>
      <c r="G51" s="168">
        <v>0</v>
      </c>
      <c r="H51" s="169"/>
      <c r="I51" s="168">
        <v>0</v>
      </c>
      <c r="J51" s="169"/>
      <c r="K51" s="168">
        <v>0</v>
      </c>
      <c r="L51" s="169"/>
      <c r="M51" s="168">
        <v>0</v>
      </c>
      <c r="N51" s="169"/>
      <c r="O51" s="168">
        <v>0</v>
      </c>
      <c r="P51" s="169"/>
      <c r="Q51" s="168">
        <v>0</v>
      </c>
      <c r="R51" s="169"/>
      <c r="S51" s="168">
        <v>0</v>
      </c>
      <c r="T51" s="169"/>
      <c r="U51" s="168">
        <v>0</v>
      </c>
      <c r="V51" s="169"/>
      <c r="W51" s="168">
        <v>0</v>
      </c>
      <c r="X51" s="169"/>
      <c r="Y51" s="168">
        <v>0</v>
      </c>
      <c r="Z51" s="169"/>
      <c r="AA51" s="168">
        <v>0</v>
      </c>
      <c r="AB51" s="169"/>
      <c r="AC51" s="168">
        <v>0</v>
      </c>
      <c r="AD51" s="169"/>
      <c r="AE51" s="168">
        <f t="shared" si="3"/>
        <v>0</v>
      </c>
    </row>
    <row r="52" spans="1:31">
      <c r="A52" s="167"/>
      <c r="B52" s="167"/>
      <c r="C52" s="167"/>
      <c r="D52" s="167"/>
      <c r="E52" s="167"/>
      <c r="F52" s="167" t="s">
        <v>206</v>
      </c>
      <c r="G52" s="168">
        <v>6302.3</v>
      </c>
      <c r="H52" s="169"/>
      <c r="I52" s="168">
        <v>4000</v>
      </c>
      <c r="J52" s="169"/>
      <c r="K52" s="168">
        <v>4000</v>
      </c>
      <c r="L52" s="169"/>
      <c r="M52" s="168">
        <v>4000</v>
      </c>
      <c r="N52" s="169"/>
      <c r="O52" s="168">
        <v>4000</v>
      </c>
      <c r="P52" s="169"/>
      <c r="Q52" s="168">
        <v>4000</v>
      </c>
      <c r="R52" s="169"/>
      <c r="S52" s="168">
        <v>4000</v>
      </c>
      <c r="T52" s="169"/>
      <c r="U52" s="168">
        <v>4000</v>
      </c>
      <c r="V52" s="169"/>
      <c r="W52" s="168">
        <v>4000</v>
      </c>
      <c r="X52" s="169"/>
      <c r="Y52" s="168">
        <v>4000</v>
      </c>
      <c r="Z52" s="169"/>
      <c r="AA52" s="168">
        <v>4000</v>
      </c>
      <c r="AB52" s="169"/>
      <c r="AC52" s="168">
        <v>4000</v>
      </c>
      <c r="AD52" s="169"/>
      <c r="AE52" s="168">
        <f t="shared" si="3"/>
        <v>50302.3</v>
      </c>
    </row>
    <row r="53" spans="1:31">
      <c r="A53" s="167"/>
      <c r="B53" s="167"/>
      <c r="C53" s="167"/>
      <c r="D53" s="167"/>
      <c r="E53" s="167"/>
      <c r="F53" s="167" t="s">
        <v>207</v>
      </c>
      <c r="G53" s="168">
        <v>3746</v>
      </c>
      <c r="H53" s="169"/>
      <c r="I53" s="168">
        <v>3500</v>
      </c>
      <c r="J53" s="169"/>
      <c r="K53" s="168">
        <v>3500</v>
      </c>
      <c r="L53" s="169"/>
      <c r="M53" s="168">
        <v>3500</v>
      </c>
      <c r="N53" s="169"/>
      <c r="O53" s="168">
        <v>3500</v>
      </c>
      <c r="P53" s="169"/>
      <c r="Q53" s="168">
        <v>3500</v>
      </c>
      <c r="R53" s="169"/>
      <c r="S53" s="168">
        <v>3500</v>
      </c>
      <c r="T53" s="169"/>
      <c r="U53" s="168">
        <v>3500</v>
      </c>
      <c r="V53" s="169"/>
      <c r="W53" s="168">
        <v>3500</v>
      </c>
      <c r="X53" s="169"/>
      <c r="Y53" s="168">
        <v>3500</v>
      </c>
      <c r="Z53" s="169"/>
      <c r="AA53" s="168">
        <v>3500</v>
      </c>
      <c r="AB53" s="169"/>
      <c r="AC53" s="168">
        <v>3500</v>
      </c>
      <c r="AD53" s="169"/>
      <c r="AE53" s="168">
        <f t="shared" si="3"/>
        <v>42246</v>
      </c>
    </row>
    <row r="54" spans="1:31">
      <c r="A54" s="167"/>
      <c r="B54" s="167"/>
      <c r="C54" s="167"/>
      <c r="D54" s="167"/>
      <c r="E54" s="167"/>
      <c r="F54" s="167" t="s">
        <v>208</v>
      </c>
      <c r="G54" s="168">
        <v>420.87</v>
      </c>
      <c r="H54" s="169"/>
      <c r="I54" s="168">
        <v>1239.1500000000001</v>
      </c>
      <c r="J54" s="169"/>
      <c r="K54" s="168">
        <v>110</v>
      </c>
      <c r="L54" s="169"/>
      <c r="M54" s="168">
        <v>0</v>
      </c>
      <c r="N54" s="169"/>
      <c r="O54" s="168">
        <v>0</v>
      </c>
      <c r="P54" s="169"/>
      <c r="Q54" s="168">
        <v>0</v>
      </c>
      <c r="R54" s="169"/>
      <c r="S54" s="168">
        <v>0</v>
      </c>
      <c r="T54" s="169"/>
      <c r="U54" s="168">
        <v>0</v>
      </c>
      <c r="V54" s="169"/>
      <c r="W54" s="168">
        <v>0</v>
      </c>
      <c r="X54" s="169"/>
      <c r="Y54" s="168">
        <v>0</v>
      </c>
      <c r="Z54" s="169"/>
      <c r="AA54" s="168">
        <v>0</v>
      </c>
      <c r="AB54" s="169"/>
      <c r="AC54" s="168">
        <v>0</v>
      </c>
      <c r="AD54" s="169"/>
      <c r="AE54" s="168">
        <f t="shared" si="3"/>
        <v>1770.02</v>
      </c>
    </row>
    <row r="55" spans="1:31">
      <c r="A55" s="167"/>
      <c r="B55" s="167"/>
      <c r="C55" s="167"/>
      <c r="D55" s="167"/>
      <c r="E55" s="167"/>
      <c r="F55" s="167" t="s">
        <v>209</v>
      </c>
      <c r="G55" s="168">
        <v>1820</v>
      </c>
      <c r="H55" s="169"/>
      <c r="I55" s="168">
        <v>5620</v>
      </c>
      <c r="J55" s="169"/>
      <c r="K55" s="168">
        <v>8494.7199999999993</v>
      </c>
      <c r="L55" s="169"/>
      <c r="M55" s="168">
        <v>8494.7199999999993</v>
      </c>
      <c r="N55" s="169"/>
      <c r="O55" s="168">
        <v>8494.7199999999993</v>
      </c>
      <c r="P55" s="169"/>
      <c r="Q55" s="168">
        <v>8494.7199999999993</v>
      </c>
      <c r="R55" s="169"/>
      <c r="S55" s="168">
        <v>8494.7199999999993</v>
      </c>
      <c r="T55" s="169"/>
      <c r="U55" s="168">
        <v>8494.7199999999993</v>
      </c>
      <c r="V55" s="169"/>
      <c r="W55" s="168">
        <v>8494.7199999999993</v>
      </c>
      <c r="X55" s="169"/>
      <c r="Y55" s="168">
        <v>8494.7199999999993</v>
      </c>
      <c r="Z55" s="169"/>
      <c r="AA55" s="168">
        <v>8494.7199999999993</v>
      </c>
      <c r="AB55" s="169"/>
      <c r="AC55" s="168">
        <v>8494.7199999999993</v>
      </c>
      <c r="AD55" s="169"/>
      <c r="AE55" s="168">
        <f t="shared" si="3"/>
        <v>92387.199999999997</v>
      </c>
    </row>
    <row r="56" spans="1:31">
      <c r="A56" s="167"/>
      <c r="B56" s="167"/>
      <c r="C56" s="167"/>
      <c r="D56" s="167"/>
      <c r="E56" s="167"/>
      <c r="F56" s="167" t="s">
        <v>210</v>
      </c>
      <c r="G56" s="168">
        <v>1665.78</v>
      </c>
      <c r="H56" s="169"/>
      <c r="I56" s="168">
        <v>1723.46</v>
      </c>
      <c r="J56" s="169"/>
      <c r="K56" s="168">
        <f>33+1723.46</f>
        <v>1756.46</v>
      </c>
      <c r="L56" s="169"/>
      <c r="M56" s="168">
        <v>1723.46</v>
      </c>
      <c r="N56" s="169"/>
      <c r="O56" s="168">
        <v>1723.46</v>
      </c>
      <c r="P56" s="169"/>
      <c r="Q56" s="168">
        <v>1723.46</v>
      </c>
      <c r="R56" s="169"/>
      <c r="S56" s="168">
        <v>1723.46</v>
      </c>
      <c r="T56" s="169"/>
      <c r="U56" s="168">
        <v>1723.46</v>
      </c>
      <c r="V56" s="169"/>
      <c r="W56" s="168">
        <v>1723.46</v>
      </c>
      <c r="X56" s="169"/>
      <c r="Y56" s="168">
        <v>1723.46</v>
      </c>
      <c r="Z56" s="169"/>
      <c r="AA56" s="168">
        <v>1723.46</v>
      </c>
      <c r="AB56" s="169"/>
      <c r="AC56" s="168">
        <v>1723.46</v>
      </c>
      <c r="AD56" s="169"/>
      <c r="AE56" s="168">
        <f t="shared" si="3"/>
        <v>20656.84</v>
      </c>
    </row>
    <row r="57" spans="1:31">
      <c r="A57" s="167"/>
      <c r="B57" s="167"/>
      <c r="C57" s="167"/>
      <c r="D57" s="167"/>
      <c r="E57" s="167"/>
      <c r="F57" s="167" t="s">
        <v>211</v>
      </c>
      <c r="G57" s="168">
        <v>550</v>
      </c>
      <c r="H57" s="169"/>
      <c r="I57" s="168">
        <v>10937.84</v>
      </c>
      <c r="J57" s="169"/>
      <c r="K57" s="168">
        <v>0</v>
      </c>
      <c r="L57" s="169"/>
      <c r="M57" s="168">
        <v>0</v>
      </c>
      <c r="N57" s="169"/>
      <c r="O57" s="168">
        <v>0</v>
      </c>
      <c r="P57" s="169"/>
      <c r="Q57" s="168">
        <v>0</v>
      </c>
      <c r="R57" s="169"/>
      <c r="S57" s="168">
        <v>0</v>
      </c>
      <c r="T57" s="169"/>
      <c r="U57" s="168">
        <v>0</v>
      </c>
      <c r="V57" s="169"/>
      <c r="W57" s="168">
        <v>0</v>
      </c>
      <c r="X57" s="169"/>
      <c r="Y57" s="168">
        <v>0</v>
      </c>
      <c r="Z57" s="169"/>
      <c r="AA57" s="168">
        <v>0</v>
      </c>
      <c r="AB57" s="169"/>
      <c r="AC57" s="168">
        <v>0</v>
      </c>
      <c r="AD57" s="169"/>
      <c r="AE57" s="168">
        <f t="shared" si="3"/>
        <v>11487.84</v>
      </c>
    </row>
    <row r="58" spans="1:31">
      <c r="A58" s="167"/>
      <c r="B58" s="167"/>
      <c r="C58" s="167"/>
      <c r="D58" s="167"/>
      <c r="E58" s="167"/>
      <c r="F58" s="167" t="s">
        <v>214</v>
      </c>
      <c r="G58" s="168">
        <v>630.35</v>
      </c>
      <c r="H58" s="169"/>
      <c r="I58" s="168">
        <v>560.95000000000005</v>
      </c>
      <c r="J58" s="169"/>
      <c r="K58" s="168">
        <v>587.54999999999995</v>
      </c>
      <c r="L58" s="169"/>
      <c r="M58" s="168">
        <v>587.54999999999995</v>
      </c>
      <c r="N58" s="169"/>
      <c r="O58" s="168">
        <v>587.54999999999995</v>
      </c>
      <c r="P58" s="169"/>
      <c r="Q58" s="168">
        <v>587.54999999999995</v>
      </c>
      <c r="R58" s="169"/>
      <c r="S58" s="168">
        <v>587.54999999999995</v>
      </c>
      <c r="T58" s="169"/>
      <c r="U58" s="168">
        <v>587.54999999999995</v>
      </c>
      <c r="V58" s="169"/>
      <c r="W58" s="168">
        <v>587.54999999999995</v>
      </c>
      <c r="X58" s="169"/>
      <c r="Y58" s="168">
        <v>587.54999999999995</v>
      </c>
      <c r="Z58" s="169"/>
      <c r="AA58" s="168">
        <v>587.54999999999995</v>
      </c>
      <c r="AB58" s="169"/>
      <c r="AC58" s="168">
        <v>587.54999999999995</v>
      </c>
      <c r="AD58" s="169"/>
      <c r="AE58" s="168">
        <f t="shared" si="3"/>
        <v>7066.8</v>
      </c>
    </row>
    <row r="59" spans="1:31">
      <c r="A59" s="167"/>
      <c r="B59" s="167"/>
      <c r="C59" s="167"/>
      <c r="D59" s="167"/>
      <c r="E59" s="167"/>
      <c r="F59" s="167" t="s">
        <v>215</v>
      </c>
      <c r="G59" s="168">
        <v>15000</v>
      </c>
      <c r="H59" s="169"/>
      <c r="I59" s="168">
        <v>15000</v>
      </c>
      <c r="J59" s="169"/>
      <c r="K59" s="168">
        <v>15000</v>
      </c>
      <c r="L59" s="169"/>
      <c r="M59" s="168">
        <v>15000</v>
      </c>
      <c r="N59" s="169"/>
      <c r="O59" s="168">
        <v>15000</v>
      </c>
      <c r="P59" s="169"/>
      <c r="Q59" s="168">
        <v>15000</v>
      </c>
      <c r="R59" s="169"/>
      <c r="S59" s="168">
        <v>15000</v>
      </c>
      <c r="T59" s="169"/>
      <c r="U59" s="168">
        <v>15000</v>
      </c>
      <c r="V59" s="169"/>
      <c r="W59" s="168">
        <v>15000</v>
      </c>
      <c r="X59" s="169"/>
      <c r="Y59" s="168">
        <v>15000</v>
      </c>
      <c r="Z59" s="169"/>
      <c r="AA59" s="168">
        <v>15000</v>
      </c>
      <c r="AB59" s="169"/>
      <c r="AC59" s="168">
        <v>15000</v>
      </c>
      <c r="AD59" s="169"/>
      <c r="AE59" s="168">
        <f t="shared" si="3"/>
        <v>180000</v>
      </c>
    </row>
    <row r="60" spans="1:31">
      <c r="A60" s="167"/>
      <c r="B60" s="167"/>
      <c r="C60" s="167"/>
      <c r="D60" s="167"/>
      <c r="E60" s="167"/>
      <c r="F60" s="167" t="s">
        <v>216</v>
      </c>
      <c r="G60" s="168">
        <v>790</v>
      </c>
      <c r="H60" s="169"/>
      <c r="I60" s="168">
        <v>790</v>
      </c>
      <c r="J60" s="169"/>
      <c r="K60" s="168">
        <v>790</v>
      </c>
      <c r="L60" s="169"/>
      <c r="M60" s="168">
        <v>790</v>
      </c>
      <c r="N60" s="169"/>
      <c r="O60" s="168">
        <v>790</v>
      </c>
      <c r="P60" s="169"/>
      <c r="Q60" s="168">
        <v>790</v>
      </c>
      <c r="R60" s="169"/>
      <c r="S60" s="168">
        <v>790</v>
      </c>
      <c r="T60" s="169"/>
      <c r="U60" s="168">
        <v>790</v>
      </c>
      <c r="V60" s="169"/>
      <c r="W60" s="168">
        <v>790</v>
      </c>
      <c r="X60" s="169"/>
      <c r="Y60" s="168">
        <v>790</v>
      </c>
      <c r="Z60" s="169"/>
      <c r="AA60" s="168">
        <v>790</v>
      </c>
      <c r="AB60" s="169"/>
      <c r="AC60" s="168">
        <v>790</v>
      </c>
      <c r="AD60" s="169"/>
      <c r="AE60" s="168">
        <f t="shared" si="3"/>
        <v>9480</v>
      </c>
    </row>
    <row r="61" spans="1:31">
      <c r="A61" s="167"/>
      <c r="B61" s="167"/>
      <c r="C61" s="167"/>
      <c r="D61" s="167"/>
      <c r="E61" s="167"/>
      <c r="F61" s="167" t="s">
        <v>218</v>
      </c>
      <c r="G61" s="168">
        <v>128.4</v>
      </c>
      <c r="H61" s="169"/>
      <c r="I61" s="168">
        <v>0</v>
      </c>
      <c r="J61" s="169"/>
      <c r="K61" s="168">
        <v>326.72000000000003</v>
      </c>
      <c r="L61" s="169"/>
      <c r="M61" s="168">
        <v>67.61</v>
      </c>
      <c r="N61" s="169"/>
      <c r="O61" s="168">
        <v>100</v>
      </c>
      <c r="P61" s="169"/>
      <c r="Q61" s="168">
        <v>100</v>
      </c>
      <c r="R61" s="169"/>
      <c r="S61" s="168">
        <v>100</v>
      </c>
      <c r="T61" s="169"/>
      <c r="U61" s="168">
        <v>100</v>
      </c>
      <c r="V61" s="169"/>
      <c r="W61" s="168">
        <v>100</v>
      </c>
      <c r="X61" s="169"/>
      <c r="Y61" s="168">
        <v>100</v>
      </c>
      <c r="Z61" s="169"/>
      <c r="AA61" s="168">
        <v>100</v>
      </c>
      <c r="AB61" s="169"/>
      <c r="AC61" s="168">
        <v>100</v>
      </c>
      <c r="AD61" s="169"/>
      <c r="AE61" s="168">
        <f t="shared" si="3"/>
        <v>1322.73</v>
      </c>
    </row>
    <row r="62" spans="1:31">
      <c r="A62" s="167"/>
      <c r="B62" s="167"/>
      <c r="C62" s="167"/>
      <c r="D62" s="167"/>
      <c r="E62" s="167"/>
      <c r="F62" s="167" t="s">
        <v>219</v>
      </c>
      <c r="G62" s="168">
        <v>0</v>
      </c>
      <c r="H62" s="169"/>
      <c r="I62" s="168">
        <v>4956.99</v>
      </c>
      <c r="J62" s="169"/>
      <c r="K62" s="168">
        <v>280.94</v>
      </c>
      <c r="L62" s="169"/>
      <c r="M62" s="168">
        <v>0</v>
      </c>
      <c r="N62" s="169"/>
      <c r="O62" s="168">
        <v>0</v>
      </c>
      <c r="P62" s="169"/>
      <c r="Q62" s="168">
        <v>0</v>
      </c>
      <c r="R62" s="169"/>
      <c r="S62" s="168">
        <v>0</v>
      </c>
      <c r="T62" s="169"/>
      <c r="U62" s="168">
        <v>0</v>
      </c>
      <c r="V62" s="169"/>
      <c r="W62" s="168">
        <v>0</v>
      </c>
      <c r="X62" s="169"/>
      <c r="Y62" s="168">
        <v>0</v>
      </c>
      <c r="Z62" s="169"/>
      <c r="AA62" s="168">
        <v>0</v>
      </c>
      <c r="AB62" s="169"/>
      <c r="AC62" s="168">
        <v>0</v>
      </c>
      <c r="AD62" s="169"/>
      <c r="AE62" s="168">
        <f t="shared" si="3"/>
        <v>5237.93</v>
      </c>
    </row>
    <row r="63" spans="1:31">
      <c r="A63" s="167"/>
      <c r="B63" s="167"/>
      <c r="C63" s="167"/>
      <c r="D63" s="167"/>
      <c r="E63" s="167"/>
      <c r="F63" s="167" t="s">
        <v>220</v>
      </c>
      <c r="G63" s="168">
        <v>349.6</v>
      </c>
      <c r="H63" s="169"/>
      <c r="I63" s="168">
        <v>349.63</v>
      </c>
      <c r="J63" s="169"/>
      <c r="K63" s="168">
        <v>349.63</v>
      </c>
      <c r="L63" s="169"/>
      <c r="M63" s="168">
        <v>349.63</v>
      </c>
      <c r="N63" s="169"/>
      <c r="O63" s="168">
        <v>349.63</v>
      </c>
      <c r="P63" s="169"/>
      <c r="Q63" s="168">
        <v>349.63</v>
      </c>
      <c r="R63" s="169"/>
      <c r="S63" s="168">
        <v>349.63</v>
      </c>
      <c r="T63" s="169"/>
      <c r="U63" s="168">
        <v>349.63</v>
      </c>
      <c r="V63" s="169"/>
      <c r="W63" s="168">
        <v>349.63</v>
      </c>
      <c r="X63" s="169"/>
      <c r="Y63" s="168">
        <v>349.63</v>
      </c>
      <c r="Z63" s="169"/>
      <c r="AA63" s="168">
        <v>349.63</v>
      </c>
      <c r="AB63" s="169"/>
      <c r="AC63" s="168">
        <v>349.63</v>
      </c>
      <c r="AD63" s="169"/>
      <c r="AE63" s="168">
        <f t="shared" si="3"/>
        <v>4195.53</v>
      </c>
    </row>
    <row r="64" spans="1:31">
      <c r="A64" s="167"/>
      <c r="B64" s="167"/>
      <c r="C64" s="167"/>
      <c r="D64" s="167"/>
      <c r="E64" s="167"/>
      <c r="F64" s="167" t="s">
        <v>221</v>
      </c>
      <c r="G64" s="168">
        <v>0</v>
      </c>
      <c r="H64" s="169"/>
      <c r="I64" s="168">
        <v>3.32</v>
      </c>
      <c r="J64" s="169"/>
      <c r="K64" s="168">
        <v>238.92</v>
      </c>
      <c r="L64" s="169"/>
      <c r="M64" s="168">
        <v>238.92</v>
      </c>
      <c r="N64" s="169"/>
      <c r="O64" s="168">
        <v>238.92</v>
      </c>
      <c r="P64" s="169"/>
      <c r="Q64" s="168">
        <v>238.92</v>
      </c>
      <c r="R64" s="169"/>
      <c r="S64" s="168">
        <v>238.92</v>
      </c>
      <c r="T64" s="169"/>
      <c r="U64" s="168">
        <v>238.92</v>
      </c>
      <c r="V64" s="169"/>
      <c r="W64" s="168">
        <v>238.92</v>
      </c>
      <c r="X64" s="169"/>
      <c r="Y64" s="168">
        <v>238.92</v>
      </c>
      <c r="Z64" s="169"/>
      <c r="AA64" s="168">
        <v>238.92</v>
      </c>
      <c r="AB64" s="169"/>
      <c r="AC64" s="168">
        <v>238.92</v>
      </c>
      <c r="AD64" s="169"/>
      <c r="AE64" s="168">
        <f t="shared" si="3"/>
        <v>2392.52</v>
      </c>
    </row>
    <row r="65" spans="1:31">
      <c r="A65" s="167"/>
      <c r="B65" s="167"/>
      <c r="C65" s="167"/>
      <c r="D65" s="167"/>
      <c r="E65" s="167"/>
      <c r="F65" s="167" t="s">
        <v>224</v>
      </c>
      <c r="G65" s="168">
        <v>20.16</v>
      </c>
      <c r="H65" s="169"/>
      <c r="I65" s="168">
        <v>6.56</v>
      </c>
      <c r="J65" s="169"/>
      <c r="K65" s="168">
        <v>0</v>
      </c>
      <c r="L65" s="169"/>
      <c r="M65" s="168">
        <v>0</v>
      </c>
      <c r="N65" s="169"/>
      <c r="O65" s="168">
        <v>0</v>
      </c>
      <c r="P65" s="169"/>
      <c r="Q65" s="168">
        <v>0</v>
      </c>
      <c r="R65" s="169"/>
      <c r="S65" s="168">
        <v>0</v>
      </c>
      <c r="T65" s="169"/>
      <c r="U65" s="168">
        <v>0</v>
      </c>
      <c r="V65" s="169"/>
      <c r="W65" s="168">
        <v>2000</v>
      </c>
      <c r="X65" s="169"/>
      <c r="Y65" s="168">
        <v>2000</v>
      </c>
      <c r="Z65" s="169"/>
      <c r="AA65" s="168">
        <v>2000</v>
      </c>
      <c r="AB65" s="169"/>
      <c r="AC65" s="168">
        <v>2000</v>
      </c>
      <c r="AD65" s="169"/>
      <c r="AE65" s="168">
        <f t="shared" si="3"/>
        <v>8026.72</v>
      </c>
    </row>
    <row r="66" spans="1:31">
      <c r="A66" s="167"/>
      <c r="B66" s="167"/>
      <c r="C66" s="167"/>
      <c r="D66" s="167"/>
      <c r="E66" s="167"/>
      <c r="F66" s="167" t="s">
        <v>225</v>
      </c>
      <c r="G66" s="168">
        <v>160.41999999999999</v>
      </c>
      <c r="H66" s="169"/>
      <c r="I66" s="168">
        <v>160.41999999999999</v>
      </c>
      <c r="J66" s="169"/>
      <c r="K66" s="168">
        <v>160.41999999999999</v>
      </c>
      <c r="L66" s="169"/>
      <c r="M66" s="168">
        <v>160.41999999999999</v>
      </c>
      <c r="N66" s="169"/>
      <c r="O66" s="168">
        <v>160.41999999999999</v>
      </c>
      <c r="P66" s="169"/>
      <c r="Q66" s="168">
        <v>160.41999999999999</v>
      </c>
      <c r="R66" s="169"/>
      <c r="S66" s="168">
        <v>160.41999999999999</v>
      </c>
      <c r="T66" s="169"/>
      <c r="U66" s="168">
        <v>160.41999999999999</v>
      </c>
      <c r="V66" s="169"/>
      <c r="W66" s="168">
        <v>160.41999999999999</v>
      </c>
      <c r="X66" s="169"/>
      <c r="Y66" s="168">
        <v>160.41999999999999</v>
      </c>
      <c r="Z66" s="169"/>
      <c r="AA66" s="168">
        <v>160.41999999999999</v>
      </c>
      <c r="AB66" s="169"/>
      <c r="AC66" s="168">
        <v>160.41999999999999</v>
      </c>
      <c r="AD66" s="169"/>
      <c r="AE66" s="168">
        <f t="shared" si="3"/>
        <v>1925.04</v>
      </c>
    </row>
    <row r="67" spans="1:31">
      <c r="A67" s="167"/>
      <c r="B67" s="167"/>
      <c r="C67" s="167"/>
      <c r="D67" s="167"/>
      <c r="E67" s="167"/>
      <c r="F67" s="167" t="s">
        <v>226</v>
      </c>
      <c r="G67" s="168">
        <v>1060.67</v>
      </c>
      <c r="H67" s="169"/>
      <c r="I67" s="168">
        <v>1095.5899999999999</v>
      </c>
      <c r="J67" s="169"/>
      <c r="K67" s="168">
        <v>1610.85</v>
      </c>
      <c r="L67" s="169"/>
      <c r="M67" s="168">
        <v>1610.85</v>
      </c>
      <c r="N67" s="169"/>
      <c r="O67" s="168">
        <v>1610.85</v>
      </c>
      <c r="P67" s="169"/>
      <c r="Q67" s="168">
        <v>1610.85</v>
      </c>
      <c r="R67" s="169"/>
      <c r="S67" s="168">
        <v>1610.85</v>
      </c>
      <c r="T67" s="169"/>
      <c r="U67" s="168">
        <v>1610.85</v>
      </c>
      <c r="V67" s="169"/>
      <c r="W67" s="168">
        <v>1610.85</v>
      </c>
      <c r="X67" s="169"/>
      <c r="Y67" s="168">
        <v>1610.85</v>
      </c>
      <c r="Z67" s="169"/>
      <c r="AA67" s="168">
        <v>1610.85</v>
      </c>
      <c r="AB67" s="169"/>
      <c r="AC67" s="168">
        <v>1610.85</v>
      </c>
      <c r="AD67" s="169"/>
      <c r="AE67" s="168">
        <f t="shared" si="3"/>
        <v>18264.759999999998</v>
      </c>
    </row>
    <row r="68" spans="1:31">
      <c r="A68" s="167"/>
      <c r="B68" s="167"/>
      <c r="C68" s="167"/>
      <c r="D68" s="167"/>
      <c r="E68" s="167"/>
      <c r="F68" s="167" t="s">
        <v>227</v>
      </c>
      <c r="G68" s="168">
        <v>0</v>
      </c>
      <c r="H68" s="169"/>
      <c r="I68" s="168">
        <v>0</v>
      </c>
      <c r="J68" s="169"/>
      <c r="K68" s="168">
        <v>0</v>
      </c>
      <c r="L68" s="169"/>
      <c r="M68" s="168">
        <v>0</v>
      </c>
      <c r="N68" s="169"/>
      <c r="O68" s="168">
        <v>0</v>
      </c>
      <c r="P68" s="169"/>
      <c r="Q68" s="168">
        <v>0</v>
      </c>
      <c r="R68" s="169"/>
      <c r="S68" s="168">
        <v>0</v>
      </c>
      <c r="T68" s="169"/>
      <c r="U68" s="168">
        <v>0</v>
      </c>
      <c r="V68" s="169"/>
      <c r="W68" s="168">
        <v>0</v>
      </c>
      <c r="X68" s="169"/>
      <c r="Y68" s="168">
        <v>0</v>
      </c>
      <c r="Z68" s="169"/>
      <c r="AA68" s="168">
        <v>0</v>
      </c>
      <c r="AB68" s="169"/>
      <c r="AC68" s="168">
        <v>0</v>
      </c>
      <c r="AD68" s="169"/>
      <c r="AE68" s="168">
        <f t="shared" si="3"/>
        <v>0</v>
      </c>
    </row>
    <row r="69" spans="1:31">
      <c r="A69" s="167"/>
      <c r="B69" s="167"/>
      <c r="C69" s="167"/>
      <c r="D69" s="167"/>
      <c r="E69" s="167"/>
      <c r="F69" s="167" t="s">
        <v>228</v>
      </c>
      <c r="G69" s="168">
        <v>55.36</v>
      </c>
      <c r="H69" s="169"/>
      <c r="I69" s="168">
        <v>113.31</v>
      </c>
      <c r="J69" s="169"/>
      <c r="K69" s="168">
        <v>55.89</v>
      </c>
      <c r="L69" s="169"/>
      <c r="M69" s="168">
        <v>55.89</v>
      </c>
      <c r="N69" s="169"/>
      <c r="O69" s="168">
        <v>55.89</v>
      </c>
      <c r="P69" s="169"/>
      <c r="Q69" s="168">
        <v>55.89</v>
      </c>
      <c r="R69" s="169"/>
      <c r="S69" s="168">
        <v>55.89</v>
      </c>
      <c r="T69" s="169"/>
      <c r="U69" s="168">
        <v>55.89</v>
      </c>
      <c r="V69" s="169"/>
      <c r="W69" s="168">
        <v>55.89</v>
      </c>
      <c r="X69" s="169"/>
      <c r="Y69" s="168">
        <v>55.89</v>
      </c>
      <c r="Z69" s="169"/>
      <c r="AA69" s="168">
        <v>55.89</v>
      </c>
      <c r="AB69" s="169"/>
      <c r="AC69" s="168">
        <v>55.89</v>
      </c>
      <c r="AD69" s="169"/>
      <c r="AE69" s="168">
        <f t="shared" si="3"/>
        <v>727.57</v>
      </c>
    </row>
    <row r="70" spans="1:31">
      <c r="A70" s="167"/>
      <c r="B70" s="167"/>
      <c r="C70" s="167"/>
      <c r="D70" s="167"/>
      <c r="E70" s="167"/>
      <c r="F70" s="167" t="s">
        <v>229</v>
      </c>
      <c r="G70" s="168">
        <v>351.87</v>
      </c>
      <c r="H70" s="169"/>
      <c r="I70" s="168">
        <v>351.87</v>
      </c>
      <c r="J70" s="169"/>
      <c r="K70" s="168">
        <v>351.87</v>
      </c>
      <c r="L70" s="169"/>
      <c r="M70" s="168">
        <v>351.87</v>
      </c>
      <c r="N70" s="169"/>
      <c r="O70" s="168">
        <v>351.87</v>
      </c>
      <c r="P70" s="169"/>
      <c r="Q70" s="168">
        <v>351.87</v>
      </c>
      <c r="R70" s="169"/>
      <c r="S70" s="168">
        <v>351.87</v>
      </c>
      <c r="T70" s="169"/>
      <c r="U70" s="168">
        <v>351.87</v>
      </c>
      <c r="V70" s="169"/>
      <c r="W70" s="168">
        <v>351.87</v>
      </c>
      <c r="X70" s="169"/>
      <c r="Y70" s="168">
        <v>351.87</v>
      </c>
      <c r="Z70" s="169"/>
      <c r="AA70" s="168">
        <v>351.87</v>
      </c>
      <c r="AB70" s="169"/>
      <c r="AC70" s="168">
        <v>351.87</v>
      </c>
      <c r="AD70" s="169"/>
      <c r="AE70" s="168">
        <f t="shared" si="3"/>
        <v>4222.4399999999996</v>
      </c>
    </row>
    <row r="71" spans="1:31" ht="15" thickBot="1">
      <c r="A71" s="167"/>
      <c r="B71" s="167"/>
      <c r="C71" s="167"/>
      <c r="D71" s="167"/>
      <c r="E71" s="167"/>
      <c r="F71" s="167" t="s">
        <v>230</v>
      </c>
      <c r="G71" s="170">
        <v>0</v>
      </c>
      <c r="H71" s="169"/>
      <c r="I71" s="170">
        <v>3687.75</v>
      </c>
      <c r="J71" s="169"/>
      <c r="K71" s="170">
        <v>8195</v>
      </c>
      <c r="L71" s="169"/>
      <c r="M71" s="170">
        <v>8195</v>
      </c>
      <c r="N71" s="169"/>
      <c r="O71" s="170">
        <v>8195</v>
      </c>
      <c r="P71" s="169"/>
      <c r="Q71" s="170">
        <v>8195</v>
      </c>
      <c r="R71" s="169"/>
      <c r="S71" s="170">
        <v>8195</v>
      </c>
      <c r="T71" s="169"/>
      <c r="U71" s="170">
        <v>8195</v>
      </c>
      <c r="V71" s="169"/>
      <c r="W71" s="170">
        <v>8195</v>
      </c>
      <c r="X71" s="169"/>
      <c r="Y71" s="170">
        <v>8195</v>
      </c>
      <c r="Z71" s="169"/>
      <c r="AA71" s="170">
        <v>8195</v>
      </c>
      <c r="AB71" s="169"/>
      <c r="AC71" s="170">
        <v>8195</v>
      </c>
      <c r="AD71" s="169"/>
      <c r="AE71" s="170">
        <f t="shared" si="3"/>
        <v>85637.75</v>
      </c>
    </row>
    <row r="72" spans="1:31">
      <c r="A72" s="167"/>
      <c r="B72" s="167"/>
      <c r="C72" s="167"/>
      <c r="D72" s="167"/>
      <c r="E72" s="167" t="s">
        <v>232</v>
      </c>
      <c r="F72" s="167"/>
      <c r="G72" s="168">
        <f>ROUND(SUM(G42:G71),5)</f>
        <v>71495.94</v>
      </c>
      <c r="H72" s="169"/>
      <c r="I72" s="168">
        <f>ROUND(SUM(I42:I71),5)</f>
        <v>99323.45</v>
      </c>
      <c r="J72" s="169"/>
      <c r="K72" s="168">
        <f>ROUND(SUM(K42:K71),5)</f>
        <v>119105.56</v>
      </c>
      <c r="L72" s="169"/>
      <c r="M72" s="168">
        <f>ROUND(SUM(M42:M71),5)</f>
        <v>56870.69</v>
      </c>
      <c r="N72" s="169"/>
      <c r="O72" s="168">
        <f>ROUND(SUM(O42:O71),5)</f>
        <v>56934.21</v>
      </c>
      <c r="P72" s="169"/>
      <c r="Q72" s="168">
        <f>ROUND(SUM(Q42:Q71),5)</f>
        <v>54707.65</v>
      </c>
      <c r="R72" s="169"/>
      <c r="S72" s="168">
        <f>ROUND(SUM(S42:S71),5)</f>
        <v>59129.64</v>
      </c>
      <c r="T72" s="169"/>
      <c r="U72" s="168">
        <f>ROUND(SUM(U42:U71),5)</f>
        <v>54707.65</v>
      </c>
      <c r="V72" s="169"/>
      <c r="W72" s="168">
        <f>ROUND(SUM(W42:W71),5)</f>
        <v>58934.21</v>
      </c>
      <c r="X72" s="169"/>
      <c r="Y72" s="168">
        <f>ROUND(SUM(Y42:Y71),5)</f>
        <v>58903.08</v>
      </c>
      <c r="Z72" s="169"/>
      <c r="AA72" s="168">
        <f>ROUND(SUM(AA42:AA71),5)</f>
        <v>58934.21</v>
      </c>
      <c r="AB72" s="169"/>
      <c r="AC72" s="168">
        <f>ROUND(SUM(AC42:AC71),5)</f>
        <v>56707.65</v>
      </c>
      <c r="AD72" s="169"/>
      <c r="AE72" s="168">
        <f t="shared" si="3"/>
        <v>805753.94</v>
      </c>
    </row>
    <row r="73" spans="1:31">
      <c r="A73" s="167"/>
      <c r="B73" s="167"/>
      <c r="C73" s="167"/>
      <c r="D73" s="167"/>
      <c r="E73" s="167" t="s">
        <v>233</v>
      </c>
      <c r="F73" s="167"/>
      <c r="G73" s="168"/>
      <c r="H73" s="169"/>
      <c r="I73" s="168"/>
      <c r="J73" s="169"/>
      <c r="K73" s="168"/>
      <c r="L73" s="169"/>
      <c r="M73" s="168"/>
      <c r="N73" s="169"/>
      <c r="O73" s="168"/>
      <c r="P73" s="169"/>
      <c r="Q73" s="168"/>
      <c r="R73" s="169"/>
      <c r="S73" s="168"/>
      <c r="T73" s="169"/>
      <c r="U73" s="168"/>
      <c r="V73" s="169"/>
      <c r="W73" s="168"/>
      <c r="X73" s="169"/>
      <c r="Y73" s="168"/>
      <c r="Z73" s="169"/>
      <c r="AA73" s="168"/>
      <c r="AB73" s="169"/>
      <c r="AC73" s="168"/>
      <c r="AD73" s="169"/>
      <c r="AE73" s="168"/>
    </row>
    <row r="74" spans="1:31">
      <c r="A74" s="167"/>
      <c r="B74" s="167"/>
      <c r="C74" s="167"/>
      <c r="D74" s="167"/>
      <c r="E74" s="167"/>
      <c r="F74" s="167" t="s">
        <v>234</v>
      </c>
      <c r="G74" s="168">
        <v>0</v>
      </c>
      <c r="H74" s="169"/>
      <c r="I74" s="168">
        <v>885.7</v>
      </c>
      <c r="J74" s="169"/>
      <c r="K74" s="168">
        <v>249</v>
      </c>
      <c r="L74" s="169"/>
      <c r="M74" s="168">
        <v>249</v>
      </c>
      <c r="N74" s="169"/>
      <c r="O74" s="168">
        <v>249</v>
      </c>
      <c r="P74" s="169"/>
      <c r="Q74" s="168">
        <v>249</v>
      </c>
      <c r="R74" s="169"/>
      <c r="S74" s="168">
        <v>249</v>
      </c>
      <c r="T74" s="169"/>
      <c r="U74" s="168">
        <v>249</v>
      </c>
      <c r="V74" s="169"/>
      <c r="W74" s="168">
        <v>249</v>
      </c>
      <c r="X74" s="169"/>
      <c r="Y74" s="168">
        <v>249</v>
      </c>
      <c r="Z74" s="169"/>
      <c r="AA74" s="168">
        <v>249</v>
      </c>
      <c r="AB74" s="169"/>
      <c r="AC74" s="168">
        <v>249</v>
      </c>
      <c r="AD74" s="169"/>
      <c r="AE74" s="168">
        <f t="shared" ref="AE74:AE82" si="4">ROUND(SUM(G74:AC74),5)</f>
        <v>3375.7</v>
      </c>
    </row>
    <row r="75" spans="1:31">
      <c r="A75" s="167"/>
      <c r="B75" s="167"/>
      <c r="C75" s="167"/>
      <c r="D75" s="167"/>
      <c r="E75" s="167"/>
      <c r="F75" s="167" t="s">
        <v>235</v>
      </c>
      <c r="G75" s="168">
        <v>469.33</v>
      </c>
      <c r="H75" s="169"/>
      <c r="I75" s="168">
        <v>698.57</v>
      </c>
      <c r="J75" s="169"/>
      <c r="K75" s="168">
        <v>897.93</v>
      </c>
      <c r="L75" s="169"/>
      <c r="M75" s="168">
        <f>897.93+74.95</f>
        <v>972.88</v>
      </c>
      <c r="N75" s="169"/>
      <c r="O75" s="168">
        <v>897.93</v>
      </c>
      <c r="P75" s="169"/>
      <c r="Q75" s="168">
        <v>897.93</v>
      </c>
      <c r="R75" s="169"/>
      <c r="S75" s="168">
        <v>897.93</v>
      </c>
      <c r="T75" s="169"/>
      <c r="U75" s="168">
        <v>897.93</v>
      </c>
      <c r="V75" s="169"/>
      <c r="W75" s="168">
        <v>897.93</v>
      </c>
      <c r="X75" s="169"/>
      <c r="Y75" s="168">
        <v>897.93</v>
      </c>
      <c r="Z75" s="169"/>
      <c r="AA75" s="168">
        <v>897.93</v>
      </c>
      <c r="AB75" s="169"/>
      <c r="AC75" s="168">
        <v>897.93</v>
      </c>
      <c r="AD75" s="169"/>
      <c r="AE75" s="168">
        <f t="shared" si="4"/>
        <v>10222.15</v>
      </c>
    </row>
    <row r="76" spans="1:31">
      <c r="A76" s="167"/>
      <c r="B76" s="167"/>
      <c r="C76" s="167"/>
      <c r="D76" s="167"/>
      <c r="E76" s="167"/>
      <c r="F76" s="167" t="s">
        <v>236</v>
      </c>
      <c r="G76" s="168">
        <v>474.11</v>
      </c>
      <c r="H76" s="169"/>
      <c r="I76" s="168">
        <v>658.59</v>
      </c>
      <c r="J76" s="169"/>
      <c r="K76" s="168">
        <v>597.49</v>
      </c>
      <c r="L76" s="169"/>
      <c r="M76" s="168">
        <v>597.49</v>
      </c>
      <c r="N76" s="169"/>
      <c r="O76" s="168">
        <v>597.49</v>
      </c>
      <c r="P76" s="169"/>
      <c r="Q76" s="168">
        <v>597.49</v>
      </c>
      <c r="R76" s="169"/>
      <c r="S76" s="168">
        <v>597.49</v>
      </c>
      <c r="T76" s="169"/>
      <c r="U76" s="168">
        <v>597.49</v>
      </c>
      <c r="V76" s="169"/>
      <c r="W76" s="168">
        <v>597.49</v>
      </c>
      <c r="X76" s="169"/>
      <c r="Y76" s="168">
        <v>597.49</v>
      </c>
      <c r="Z76" s="169"/>
      <c r="AA76" s="168">
        <v>597.49</v>
      </c>
      <c r="AB76" s="169"/>
      <c r="AC76" s="168">
        <v>597.49</v>
      </c>
      <c r="AD76" s="169"/>
      <c r="AE76" s="168">
        <f t="shared" si="4"/>
        <v>7107.6</v>
      </c>
    </row>
    <row r="77" spans="1:31">
      <c r="A77" s="167"/>
      <c r="B77" s="167"/>
      <c r="C77" s="167"/>
      <c r="D77" s="167"/>
      <c r="E77" s="167"/>
      <c r="F77" s="167" t="s">
        <v>238</v>
      </c>
      <c r="G77" s="168">
        <v>69.989999999999995</v>
      </c>
      <c r="H77" s="169"/>
      <c r="I77" s="168">
        <v>36.340000000000003</v>
      </c>
      <c r="J77" s="169"/>
      <c r="K77" s="168">
        <v>96.57</v>
      </c>
      <c r="L77" s="169"/>
      <c r="M77" s="168">
        <v>96.57</v>
      </c>
      <c r="N77" s="169"/>
      <c r="O77" s="168">
        <v>96.57</v>
      </c>
      <c r="P77" s="169"/>
      <c r="Q77" s="168">
        <v>96.57</v>
      </c>
      <c r="R77" s="169"/>
      <c r="S77" s="168">
        <v>96.57</v>
      </c>
      <c r="T77" s="169"/>
      <c r="U77" s="168">
        <v>96.57</v>
      </c>
      <c r="V77" s="169"/>
      <c r="W77" s="168">
        <v>96.57</v>
      </c>
      <c r="X77" s="169"/>
      <c r="Y77" s="168">
        <v>96.57</v>
      </c>
      <c r="Z77" s="169"/>
      <c r="AA77" s="168">
        <v>96.57</v>
      </c>
      <c r="AB77" s="169"/>
      <c r="AC77" s="168">
        <v>96.57</v>
      </c>
      <c r="AD77" s="169"/>
      <c r="AE77" s="168">
        <f t="shared" si="4"/>
        <v>1072.03</v>
      </c>
    </row>
    <row r="78" spans="1:31">
      <c r="A78" s="167"/>
      <c r="B78" s="167"/>
      <c r="C78" s="167"/>
      <c r="D78" s="167"/>
      <c r="E78" s="167"/>
      <c r="F78" s="167" t="s">
        <v>239</v>
      </c>
      <c r="G78" s="168">
        <v>314.14999999999998</v>
      </c>
      <c r="H78" s="169"/>
      <c r="I78" s="168">
        <v>55</v>
      </c>
      <c r="J78" s="169"/>
      <c r="K78" s="168">
        <v>55</v>
      </c>
      <c r="L78" s="169"/>
      <c r="M78" s="168">
        <v>55</v>
      </c>
      <c r="N78" s="169"/>
      <c r="O78" s="168">
        <v>55</v>
      </c>
      <c r="P78" s="169"/>
      <c r="Q78" s="168">
        <v>55</v>
      </c>
      <c r="R78" s="169"/>
      <c r="S78" s="168">
        <v>55</v>
      </c>
      <c r="T78" s="169"/>
      <c r="U78" s="168">
        <v>55</v>
      </c>
      <c r="V78" s="169"/>
      <c r="W78" s="168">
        <v>55</v>
      </c>
      <c r="X78" s="169"/>
      <c r="Y78" s="168">
        <v>55</v>
      </c>
      <c r="Z78" s="169"/>
      <c r="AA78" s="168">
        <v>55</v>
      </c>
      <c r="AB78" s="169"/>
      <c r="AC78" s="168">
        <v>55</v>
      </c>
      <c r="AD78" s="169"/>
      <c r="AE78" s="168">
        <f t="shared" si="4"/>
        <v>919.15</v>
      </c>
    </row>
    <row r="79" spans="1:31">
      <c r="A79" s="167"/>
      <c r="B79" s="167"/>
      <c r="C79" s="167"/>
      <c r="D79" s="167"/>
      <c r="E79" s="167"/>
      <c r="F79" s="167" t="s">
        <v>241</v>
      </c>
      <c r="G79" s="168">
        <v>0</v>
      </c>
      <c r="H79" s="169"/>
      <c r="I79" s="168">
        <v>95.63</v>
      </c>
      <c r="J79" s="169"/>
      <c r="K79" s="168">
        <v>0</v>
      </c>
      <c r="L79" s="169"/>
      <c r="M79" s="168">
        <v>0</v>
      </c>
      <c r="N79" s="169"/>
      <c r="O79" s="168">
        <v>0</v>
      </c>
      <c r="P79" s="169"/>
      <c r="Q79" s="168">
        <v>0</v>
      </c>
      <c r="R79" s="169"/>
      <c r="S79" s="168">
        <v>0</v>
      </c>
      <c r="T79" s="169"/>
      <c r="U79" s="168">
        <v>0</v>
      </c>
      <c r="V79" s="169"/>
      <c r="W79" s="168">
        <v>0</v>
      </c>
      <c r="X79" s="169"/>
      <c r="Y79" s="168">
        <v>0</v>
      </c>
      <c r="Z79" s="169"/>
      <c r="AA79" s="168">
        <v>0</v>
      </c>
      <c r="AB79" s="169"/>
      <c r="AC79" s="168">
        <v>0</v>
      </c>
      <c r="AD79" s="169"/>
      <c r="AE79" s="168">
        <f t="shared" si="4"/>
        <v>95.63</v>
      </c>
    </row>
    <row r="80" spans="1:31">
      <c r="A80" s="167"/>
      <c r="B80" s="167"/>
      <c r="C80" s="167"/>
      <c r="D80" s="167"/>
      <c r="E80" s="167"/>
      <c r="F80" s="167" t="s">
        <v>242</v>
      </c>
      <c r="G80" s="168">
        <v>397.99</v>
      </c>
      <c r="H80" s="169"/>
      <c r="I80" s="168">
        <v>318.24</v>
      </c>
      <c r="J80" s="169"/>
      <c r="K80" s="168">
        <v>332.16</v>
      </c>
      <c r="L80" s="169"/>
      <c r="M80" s="168">
        <v>332.16</v>
      </c>
      <c r="N80" s="169"/>
      <c r="O80" s="168">
        <v>332.16</v>
      </c>
      <c r="P80" s="169"/>
      <c r="Q80" s="168">
        <v>332.16</v>
      </c>
      <c r="R80" s="169"/>
      <c r="S80" s="168">
        <v>332.16</v>
      </c>
      <c r="T80" s="169"/>
      <c r="U80" s="168">
        <v>332.16</v>
      </c>
      <c r="V80" s="169"/>
      <c r="W80" s="168">
        <v>332.16</v>
      </c>
      <c r="X80" s="169"/>
      <c r="Y80" s="168">
        <v>332.16</v>
      </c>
      <c r="Z80" s="169"/>
      <c r="AA80" s="168">
        <v>332.16</v>
      </c>
      <c r="AB80" s="169"/>
      <c r="AC80" s="168">
        <v>332.16</v>
      </c>
      <c r="AD80" s="169"/>
      <c r="AE80" s="168">
        <f t="shared" si="4"/>
        <v>4037.83</v>
      </c>
    </row>
    <row r="81" spans="1:31" ht="15" thickBot="1">
      <c r="A81" s="167"/>
      <c r="B81" s="167"/>
      <c r="C81" s="167"/>
      <c r="D81" s="167"/>
      <c r="E81" s="167"/>
      <c r="F81" s="167" t="s">
        <v>247</v>
      </c>
      <c r="G81" s="170">
        <v>0</v>
      </c>
      <c r="H81" s="169"/>
      <c r="I81" s="170">
        <v>0</v>
      </c>
      <c r="J81" s="169"/>
      <c r="K81" s="170">
        <v>210.16</v>
      </c>
      <c r="L81" s="169"/>
      <c r="M81" s="170">
        <v>210.16</v>
      </c>
      <c r="N81" s="169"/>
      <c r="O81" s="170">
        <v>210.16</v>
      </c>
      <c r="P81" s="169"/>
      <c r="Q81" s="170">
        <v>210.16</v>
      </c>
      <c r="R81" s="169"/>
      <c r="S81" s="170">
        <v>210.16</v>
      </c>
      <c r="T81" s="169"/>
      <c r="U81" s="170">
        <v>210.16</v>
      </c>
      <c r="V81" s="169"/>
      <c r="W81" s="170">
        <v>210.16</v>
      </c>
      <c r="X81" s="169"/>
      <c r="Y81" s="170">
        <v>210.16</v>
      </c>
      <c r="Z81" s="169"/>
      <c r="AA81" s="170">
        <v>210.16</v>
      </c>
      <c r="AB81" s="169"/>
      <c r="AC81" s="170">
        <v>210.16</v>
      </c>
      <c r="AD81" s="169"/>
      <c r="AE81" s="170">
        <f t="shared" si="4"/>
        <v>2101.6</v>
      </c>
    </row>
    <row r="82" spans="1:31">
      <c r="A82" s="167"/>
      <c r="B82" s="167"/>
      <c r="C82" s="167"/>
      <c r="D82" s="167"/>
      <c r="E82" s="167" t="s">
        <v>248</v>
      </c>
      <c r="F82" s="167"/>
      <c r="G82" s="168">
        <f>ROUND(SUM(G73:G81),5)</f>
        <v>1725.57</v>
      </c>
      <c r="H82" s="169"/>
      <c r="I82" s="168">
        <f>ROUND(SUM(I73:I81),5)</f>
        <v>2748.07</v>
      </c>
      <c r="J82" s="169"/>
      <c r="K82" s="168">
        <f>ROUND(SUM(K73:K81),5)</f>
        <v>2438.31</v>
      </c>
      <c r="L82" s="169"/>
      <c r="M82" s="168">
        <f>ROUND(SUM(M73:M81),5)</f>
        <v>2513.2600000000002</v>
      </c>
      <c r="N82" s="169"/>
      <c r="O82" s="168">
        <f>ROUND(SUM(O73:O81),5)</f>
        <v>2438.31</v>
      </c>
      <c r="P82" s="169"/>
      <c r="Q82" s="168">
        <f>ROUND(SUM(Q73:Q81),5)</f>
        <v>2438.31</v>
      </c>
      <c r="R82" s="169"/>
      <c r="S82" s="168">
        <f>ROUND(SUM(S73:S81),5)</f>
        <v>2438.31</v>
      </c>
      <c r="T82" s="169"/>
      <c r="U82" s="168">
        <f>ROUND(SUM(U73:U81),5)</f>
        <v>2438.31</v>
      </c>
      <c r="V82" s="169"/>
      <c r="W82" s="168">
        <f>ROUND(SUM(W73:W81),5)</f>
        <v>2438.31</v>
      </c>
      <c r="X82" s="169"/>
      <c r="Y82" s="168">
        <f>ROUND(SUM(Y73:Y81),5)</f>
        <v>2438.31</v>
      </c>
      <c r="Z82" s="169"/>
      <c r="AA82" s="168">
        <f>ROUND(SUM(AA73:AA81),5)</f>
        <v>2438.31</v>
      </c>
      <c r="AB82" s="169"/>
      <c r="AC82" s="168">
        <f>ROUND(SUM(AC73:AC81),5)</f>
        <v>2438.31</v>
      </c>
      <c r="AD82" s="169"/>
      <c r="AE82" s="168">
        <f t="shared" si="4"/>
        <v>28931.69</v>
      </c>
    </row>
    <row r="83" spans="1:31">
      <c r="A83" s="167"/>
      <c r="B83" s="167"/>
      <c r="C83" s="167"/>
      <c r="D83" s="167"/>
      <c r="E83" s="167" t="s">
        <v>252</v>
      </c>
      <c r="F83" s="167"/>
      <c r="G83" s="168"/>
      <c r="H83" s="169"/>
      <c r="I83" s="168"/>
      <c r="J83" s="169"/>
      <c r="K83" s="168"/>
      <c r="L83" s="169"/>
      <c r="M83" s="168"/>
      <c r="N83" s="169"/>
      <c r="O83" s="168"/>
      <c r="P83" s="169"/>
      <c r="Q83" s="168"/>
      <c r="R83" s="169"/>
      <c r="S83" s="168"/>
      <c r="T83" s="169"/>
      <c r="U83" s="168"/>
      <c r="V83" s="169"/>
      <c r="W83" s="168"/>
      <c r="X83" s="169"/>
      <c r="Y83" s="168"/>
      <c r="Z83" s="169"/>
      <c r="AA83" s="168"/>
      <c r="AB83" s="169"/>
      <c r="AC83" s="168"/>
      <c r="AD83" s="169"/>
      <c r="AE83" s="168"/>
    </row>
    <row r="84" spans="1:31">
      <c r="A84" s="167"/>
      <c r="B84" s="167"/>
      <c r="C84" s="167"/>
      <c r="D84" s="167"/>
      <c r="E84" s="167"/>
      <c r="F84" s="167" t="s">
        <v>254</v>
      </c>
      <c r="G84" s="168">
        <v>0</v>
      </c>
      <c r="H84" s="169"/>
      <c r="I84" s="168">
        <v>501.26</v>
      </c>
      <c r="J84" s="169"/>
      <c r="K84" s="168">
        <v>146.52000000000001</v>
      </c>
      <c r="L84" s="169"/>
      <c r="M84" s="168">
        <v>0</v>
      </c>
      <c r="N84" s="169"/>
      <c r="O84" s="168">
        <v>0</v>
      </c>
      <c r="P84" s="169"/>
      <c r="Q84" s="168">
        <v>0</v>
      </c>
      <c r="R84" s="169"/>
      <c r="S84" s="168">
        <v>0</v>
      </c>
      <c r="T84" s="169"/>
      <c r="U84" s="168">
        <v>0</v>
      </c>
      <c r="V84" s="169"/>
      <c r="W84" s="168">
        <v>0</v>
      </c>
      <c r="X84" s="169"/>
      <c r="Y84" s="168">
        <v>0</v>
      </c>
      <c r="Z84" s="169"/>
      <c r="AA84" s="168">
        <v>0</v>
      </c>
      <c r="AB84" s="169"/>
      <c r="AC84" s="168">
        <v>0</v>
      </c>
      <c r="AD84" s="169"/>
      <c r="AE84" s="168">
        <f t="shared" ref="AE84:AE93" si="5">ROUND(SUM(G84:AC84),5)</f>
        <v>647.78</v>
      </c>
    </row>
    <row r="85" spans="1:31">
      <c r="A85" s="167"/>
      <c r="B85" s="167"/>
      <c r="C85" s="167"/>
      <c r="D85" s="167"/>
      <c r="E85" s="167"/>
      <c r="F85" s="167" t="s">
        <v>256</v>
      </c>
      <c r="G85" s="168">
        <v>110.47</v>
      </c>
      <c r="H85" s="169"/>
      <c r="I85" s="168">
        <v>73.010000000000005</v>
      </c>
      <c r="J85" s="169"/>
      <c r="K85" s="168">
        <v>96.3</v>
      </c>
      <c r="L85" s="169"/>
      <c r="M85" s="168">
        <v>24.57</v>
      </c>
      <c r="N85" s="169"/>
      <c r="O85" s="168">
        <v>24.57</v>
      </c>
      <c r="P85" s="169"/>
      <c r="Q85" s="168">
        <v>24.57</v>
      </c>
      <c r="R85" s="169"/>
      <c r="S85" s="168">
        <v>24.57</v>
      </c>
      <c r="T85" s="169"/>
      <c r="U85" s="168">
        <v>24.57</v>
      </c>
      <c r="V85" s="169"/>
      <c r="W85" s="168">
        <v>24.57</v>
      </c>
      <c r="X85" s="169"/>
      <c r="Y85" s="168">
        <v>24.57</v>
      </c>
      <c r="Z85" s="169"/>
      <c r="AA85" s="168">
        <v>24.57</v>
      </c>
      <c r="AB85" s="169"/>
      <c r="AC85" s="168">
        <v>24.57</v>
      </c>
      <c r="AD85" s="169"/>
      <c r="AE85" s="168">
        <f t="shared" si="5"/>
        <v>500.91</v>
      </c>
    </row>
    <row r="86" spans="1:31">
      <c r="A86" s="167"/>
      <c r="B86" s="167"/>
      <c r="C86" s="167"/>
      <c r="D86" s="167"/>
      <c r="E86" s="167"/>
      <c r="F86" s="167" t="s">
        <v>257</v>
      </c>
      <c r="G86" s="168">
        <v>0</v>
      </c>
      <c r="H86" s="169"/>
      <c r="I86" s="168">
        <v>-1030.5</v>
      </c>
      <c r="J86" s="169"/>
      <c r="K86" s="168">
        <v>100</v>
      </c>
      <c r="L86" s="169"/>
      <c r="M86" s="168">
        <v>100</v>
      </c>
      <c r="N86" s="169"/>
      <c r="O86" s="168">
        <v>100</v>
      </c>
      <c r="P86" s="169"/>
      <c r="Q86" s="168">
        <v>100</v>
      </c>
      <c r="R86" s="169"/>
      <c r="S86" s="168">
        <v>100</v>
      </c>
      <c r="T86" s="169"/>
      <c r="U86" s="168">
        <v>100</v>
      </c>
      <c r="V86" s="169"/>
      <c r="W86" s="168">
        <v>100</v>
      </c>
      <c r="X86" s="169"/>
      <c r="Y86" s="168">
        <v>100</v>
      </c>
      <c r="Z86" s="169"/>
      <c r="AA86" s="168">
        <v>100</v>
      </c>
      <c r="AB86" s="169"/>
      <c r="AC86" s="168">
        <v>100</v>
      </c>
      <c r="AD86" s="169"/>
      <c r="AE86" s="168">
        <f t="shared" si="5"/>
        <v>-30.5</v>
      </c>
    </row>
    <row r="87" spans="1:31">
      <c r="A87" s="167"/>
      <c r="B87" s="167"/>
      <c r="C87" s="167"/>
      <c r="D87" s="167"/>
      <c r="E87" s="167"/>
      <c r="F87" s="167" t="s">
        <v>258</v>
      </c>
      <c r="G87" s="168">
        <v>4941</v>
      </c>
      <c r="H87" s="169"/>
      <c r="I87" s="168">
        <v>0</v>
      </c>
      <c r="J87" s="169"/>
      <c r="K87" s="168">
        <v>5617</v>
      </c>
      <c r="L87" s="169"/>
      <c r="M87" s="168">
        <v>4932</v>
      </c>
      <c r="N87" s="169"/>
      <c r="O87" s="168">
        <v>0</v>
      </c>
      <c r="P87" s="169"/>
      <c r="Q87" s="168">
        <v>0</v>
      </c>
      <c r="R87" s="169"/>
      <c r="S87" s="168">
        <v>0</v>
      </c>
      <c r="T87" s="169"/>
      <c r="U87" s="168">
        <v>0</v>
      </c>
      <c r="V87" s="169"/>
      <c r="W87" s="168">
        <v>4932</v>
      </c>
      <c r="X87" s="169"/>
      <c r="Y87" s="168">
        <v>0</v>
      </c>
      <c r="Z87" s="169"/>
      <c r="AA87" s="168">
        <v>4932</v>
      </c>
      <c r="AB87" s="169"/>
      <c r="AC87" s="168">
        <v>0</v>
      </c>
      <c r="AD87" s="169"/>
      <c r="AE87" s="168">
        <f t="shared" si="5"/>
        <v>25354</v>
      </c>
    </row>
    <row r="88" spans="1:31">
      <c r="A88" s="167"/>
      <c r="B88" s="167"/>
      <c r="C88" s="167"/>
      <c r="D88" s="167"/>
      <c r="E88" s="167"/>
      <c r="F88" s="167" t="s">
        <v>259</v>
      </c>
      <c r="G88" s="168">
        <v>257</v>
      </c>
      <c r="H88" s="169"/>
      <c r="I88" s="168">
        <v>0</v>
      </c>
      <c r="J88" s="169"/>
      <c r="K88" s="168">
        <v>0</v>
      </c>
      <c r="L88" s="169"/>
      <c r="M88" s="168">
        <v>0</v>
      </c>
      <c r="N88" s="169"/>
      <c r="O88" s="168">
        <v>0</v>
      </c>
      <c r="P88" s="169"/>
      <c r="Q88" s="168">
        <v>0</v>
      </c>
      <c r="R88" s="169"/>
      <c r="S88" s="168">
        <v>0</v>
      </c>
      <c r="T88" s="169"/>
      <c r="U88" s="168">
        <v>0</v>
      </c>
      <c r="V88" s="169"/>
      <c r="W88" s="168">
        <v>0</v>
      </c>
      <c r="X88" s="169"/>
      <c r="Y88" s="168">
        <v>0</v>
      </c>
      <c r="Z88" s="169"/>
      <c r="AA88" s="168">
        <v>0</v>
      </c>
      <c r="AB88" s="169"/>
      <c r="AC88" s="168">
        <v>0</v>
      </c>
      <c r="AD88" s="169"/>
      <c r="AE88" s="168">
        <f t="shared" si="5"/>
        <v>257</v>
      </c>
    </row>
    <row r="89" spans="1:31" ht="15" thickBot="1">
      <c r="A89" s="167"/>
      <c r="B89" s="167"/>
      <c r="C89" s="167"/>
      <c r="D89" s="167"/>
      <c r="E89" s="167"/>
      <c r="F89" s="167" t="s">
        <v>260</v>
      </c>
      <c r="G89" s="168">
        <v>415.78</v>
      </c>
      <c r="H89" s="169"/>
      <c r="I89" s="168">
        <v>415.78</v>
      </c>
      <c r="J89" s="169"/>
      <c r="K89" s="168">
        <v>415.78</v>
      </c>
      <c r="L89" s="169"/>
      <c r="M89" s="168">
        <v>415.78</v>
      </c>
      <c r="N89" s="169"/>
      <c r="O89" s="168">
        <v>415.78</v>
      </c>
      <c r="P89" s="169"/>
      <c r="Q89" s="168">
        <v>415.78</v>
      </c>
      <c r="R89" s="169"/>
      <c r="S89" s="168">
        <v>415.78</v>
      </c>
      <c r="T89" s="169"/>
      <c r="U89" s="168">
        <v>415.78</v>
      </c>
      <c r="V89" s="169"/>
      <c r="W89" s="168">
        <v>415.78</v>
      </c>
      <c r="X89" s="169"/>
      <c r="Y89" s="168">
        <v>415.78</v>
      </c>
      <c r="Z89" s="169"/>
      <c r="AA89" s="168">
        <v>415.78</v>
      </c>
      <c r="AB89" s="169"/>
      <c r="AC89" s="168">
        <v>415.78</v>
      </c>
      <c r="AD89" s="169"/>
      <c r="AE89" s="168">
        <f t="shared" si="5"/>
        <v>4989.3599999999997</v>
      </c>
    </row>
    <row r="90" spans="1:31" ht="15" thickBot="1">
      <c r="A90" s="167"/>
      <c r="B90" s="167"/>
      <c r="C90" s="167"/>
      <c r="D90" s="167"/>
      <c r="E90" s="167" t="s">
        <v>261</v>
      </c>
      <c r="F90" s="167"/>
      <c r="G90" s="172">
        <f>ROUND(SUM(G83:G89),5)</f>
        <v>5724.25</v>
      </c>
      <c r="H90" s="169"/>
      <c r="I90" s="172">
        <f>ROUND(SUM(I83:I89),5)</f>
        <v>-40.450000000000003</v>
      </c>
      <c r="J90" s="169"/>
      <c r="K90" s="172">
        <f>ROUND(SUM(K83:K89),5)</f>
        <v>6375.6</v>
      </c>
      <c r="L90" s="169"/>
      <c r="M90" s="172">
        <f>ROUND(SUM(M83:M89),5)</f>
        <v>5472.35</v>
      </c>
      <c r="N90" s="169"/>
      <c r="O90" s="172">
        <f>ROUND(SUM(O83:O89),5)</f>
        <v>540.35</v>
      </c>
      <c r="P90" s="169"/>
      <c r="Q90" s="172">
        <f>ROUND(SUM(Q83:Q89),5)</f>
        <v>540.35</v>
      </c>
      <c r="R90" s="169"/>
      <c r="S90" s="172">
        <f>ROUND(SUM(S83:S89),5)</f>
        <v>540.35</v>
      </c>
      <c r="T90" s="169"/>
      <c r="U90" s="172">
        <f>ROUND(SUM(U83:U89),5)</f>
        <v>540.35</v>
      </c>
      <c r="V90" s="169"/>
      <c r="W90" s="172">
        <f>ROUND(SUM(W83:W89),5)</f>
        <v>5472.35</v>
      </c>
      <c r="X90" s="169"/>
      <c r="Y90" s="172">
        <f>ROUND(SUM(Y83:Y89),5)</f>
        <v>540.35</v>
      </c>
      <c r="Z90" s="169"/>
      <c r="AA90" s="172">
        <f>ROUND(SUM(AA83:AA89),5)</f>
        <v>5472.35</v>
      </c>
      <c r="AB90" s="169"/>
      <c r="AC90" s="172">
        <f>ROUND(SUM(AC83:AC89),5)</f>
        <v>540.35</v>
      </c>
      <c r="AD90" s="169"/>
      <c r="AE90" s="172">
        <f t="shared" si="5"/>
        <v>31718.55</v>
      </c>
    </row>
    <row r="91" spans="1:31" ht="15" thickBot="1">
      <c r="A91" s="167"/>
      <c r="B91" s="167"/>
      <c r="C91" s="167"/>
      <c r="D91" s="167" t="s">
        <v>262</v>
      </c>
      <c r="E91" s="167"/>
      <c r="F91" s="167"/>
      <c r="G91" s="172">
        <f>ROUND(G25+G33+G41+G72+G82+G90,5)</f>
        <v>130587.76</v>
      </c>
      <c r="H91" s="169"/>
      <c r="I91" s="172">
        <f>ROUND(I25+I33+I41+I72+I82+I90,5)</f>
        <v>160238.17000000001</v>
      </c>
      <c r="J91" s="169"/>
      <c r="K91" s="172">
        <f>ROUND(K25+K33+K41+K72+K82+K90,5)</f>
        <v>192610.24</v>
      </c>
      <c r="L91" s="169"/>
      <c r="M91" s="172">
        <f>ROUND(M25+M33+M41+M72+M82+M90,5)</f>
        <v>122146.23</v>
      </c>
      <c r="N91" s="169"/>
      <c r="O91" s="172">
        <f>ROUND(O25+O33+O41+O72+O82+O90,5)</f>
        <v>117202.8</v>
      </c>
      <c r="P91" s="169"/>
      <c r="Q91" s="172">
        <f>ROUND(Q25+Q33+Q41+Q72+Q82+Q90,5)</f>
        <v>114976.24</v>
      </c>
      <c r="R91" s="169"/>
      <c r="S91" s="172">
        <f>ROUND(S25+S33+S41+S72+S82+S90,5)</f>
        <v>119398.23</v>
      </c>
      <c r="T91" s="169"/>
      <c r="U91" s="172">
        <f>ROUND(U25+U33+U41+U72+U82+U90,5)</f>
        <v>114976.24</v>
      </c>
      <c r="V91" s="169"/>
      <c r="W91" s="172">
        <f>ROUND(W25+W33+W41+W72+W82+W90,5)</f>
        <v>124134.8</v>
      </c>
      <c r="X91" s="169"/>
      <c r="Y91" s="172">
        <f>ROUND(Y25+Y33+Y41+Y72+Y82+Y90,5)</f>
        <v>119171.67</v>
      </c>
      <c r="Z91" s="169"/>
      <c r="AA91" s="172">
        <f>ROUND(AA25+AA33+AA41+AA72+AA82+AA90,5)</f>
        <v>124134.8</v>
      </c>
      <c r="AB91" s="169"/>
      <c r="AC91" s="172">
        <f>ROUND(AC25+AC33+AC41+AC72+AC82+AC90,5)</f>
        <v>116976.24</v>
      </c>
      <c r="AD91" s="169"/>
      <c r="AE91" s="172">
        <f t="shared" si="5"/>
        <v>1556553.42</v>
      </c>
    </row>
    <row r="92" spans="1:31" ht="15" thickBot="1">
      <c r="A92" s="167"/>
      <c r="B92" s="167" t="s">
        <v>263</v>
      </c>
      <c r="C92" s="167"/>
      <c r="D92" s="167"/>
      <c r="E92" s="167"/>
      <c r="F92" s="167"/>
      <c r="G92" s="172">
        <f>ROUND(G2+G24-G91,5)</f>
        <v>80547.820000000007</v>
      </c>
      <c r="H92" s="169"/>
      <c r="I92" s="172">
        <f>ROUND(I2+I24-I91,5)</f>
        <v>73045.69</v>
      </c>
      <c r="J92" s="169"/>
      <c r="K92" s="172">
        <f>ROUND(K2+K24-K91,5)</f>
        <v>29985.29</v>
      </c>
      <c r="L92" s="169"/>
      <c r="M92" s="172">
        <f>ROUND(M2+M24-M91,5)</f>
        <v>97637.69</v>
      </c>
      <c r="N92" s="169"/>
      <c r="O92" s="172">
        <f>ROUND(O2+O24-O91,5)</f>
        <v>208937.5</v>
      </c>
      <c r="P92" s="169"/>
      <c r="Q92" s="172">
        <f>ROUND(Q2+Q24-Q91,5)</f>
        <v>211164.06</v>
      </c>
      <c r="R92" s="169"/>
      <c r="S92" s="172">
        <f>ROUND(S2+S24-S91,5)</f>
        <v>206742.07</v>
      </c>
      <c r="T92" s="169"/>
      <c r="U92" s="172">
        <f>ROUND(U2+U24-U91,5)</f>
        <v>211164.06</v>
      </c>
      <c r="V92" s="169"/>
      <c r="W92" s="172">
        <f>ROUND(W2+W24-W91,5)</f>
        <v>202005.5</v>
      </c>
      <c r="X92" s="169"/>
      <c r="Y92" s="172">
        <f>ROUND(Y2+Y24-Y91,5)</f>
        <v>206968.63</v>
      </c>
      <c r="Z92" s="169"/>
      <c r="AA92" s="172">
        <f>ROUND(AA2+AA24-AA91,5)</f>
        <v>202005.5</v>
      </c>
      <c r="AB92" s="169"/>
      <c r="AC92" s="172">
        <f>ROUND(AC2+AC24-AC91,5)</f>
        <v>209164.06</v>
      </c>
      <c r="AD92" s="169"/>
      <c r="AE92" s="172">
        <f t="shared" si="5"/>
        <v>1939367.87</v>
      </c>
    </row>
    <row r="93" spans="1:31" s="174" customFormat="1" ht="10.9" thickBot="1">
      <c r="A93" s="167" t="s">
        <v>264</v>
      </c>
      <c r="B93" s="167"/>
      <c r="C93" s="167"/>
      <c r="D93" s="167"/>
      <c r="E93" s="167"/>
      <c r="F93" s="167"/>
      <c r="G93" s="173">
        <f>G92</f>
        <v>80547.820000000007</v>
      </c>
      <c r="H93" s="167"/>
      <c r="I93" s="173">
        <f>I92</f>
        <v>73045.69</v>
      </c>
      <c r="J93" s="167"/>
      <c r="K93" s="173">
        <f>K92</f>
        <v>29985.29</v>
      </c>
      <c r="L93" s="167"/>
      <c r="M93" s="173">
        <f>M92</f>
        <v>97637.69</v>
      </c>
      <c r="N93" s="167"/>
      <c r="O93" s="173">
        <f>O92</f>
        <v>208937.5</v>
      </c>
      <c r="P93" s="167"/>
      <c r="Q93" s="173">
        <f>Q92</f>
        <v>211164.06</v>
      </c>
      <c r="R93" s="167"/>
      <c r="S93" s="173">
        <f>S92</f>
        <v>206742.07</v>
      </c>
      <c r="T93" s="167"/>
      <c r="U93" s="173">
        <f>U92</f>
        <v>211164.06</v>
      </c>
      <c r="V93" s="167"/>
      <c r="W93" s="173">
        <f>W92</f>
        <v>202005.5</v>
      </c>
      <c r="X93" s="167"/>
      <c r="Y93" s="173">
        <f>Y92</f>
        <v>206968.63</v>
      </c>
      <c r="Z93" s="167"/>
      <c r="AA93" s="173">
        <f>AA92</f>
        <v>202005.5</v>
      </c>
      <c r="AB93" s="167"/>
      <c r="AC93" s="173">
        <f>AC92</f>
        <v>209164.06</v>
      </c>
      <c r="AD93" s="167"/>
      <c r="AE93" s="173">
        <f t="shared" si="5"/>
        <v>1939367.87</v>
      </c>
    </row>
    <row r="94" spans="1:31" ht="15" thickTop="1"/>
  </sheetData>
  <pageMargins left="0.7" right="0.7" top="0.75" bottom="0.75" header="0.1" footer="0.3"/>
  <pageSetup orientation="portrait" horizontalDpi="0" verticalDpi="0" r:id="rId1"/>
  <headerFooter>
    <oddHeader>&amp;L&amp;"Arial,Bold"&amp;8 3:57 PM
&amp;"Arial,Bold"&amp;8 10/05/23
&amp;"Arial,Bold"&amp;8 Accrual Basis&amp;C&amp;"Arial,Bold"&amp;12 Lake Erie International High School
&amp;"Arial,Bold"&amp;14 Profit &amp;&amp; Loss
&amp;"Arial,Bold"&amp;10 July 2023 through June 2024</oddHeader>
    <oddFooter>&amp;R&amp;"Arial,Bold"&amp;8 Page &amp;P of &amp;N&amp;L&amp;"Arial,Bold"&amp;8 Unaudited Management Use Only</oddFooter>
  </headerFooter>
  <drawing r:id="rId2"/>
  <legacyDrawing r:id="rId3"/>
  <controls>
    <mc:AlternateContent xmlns:mc="http://schemas.openxmlformats.org/markup-compatibility/2006">
      <mc:Choice Requires="x14">
        <control shapeId="2049" r:id="rId6" name="FILTER">
          <controlPr defaultSize="0" autoLine="0" r:id="rId7">
            <anchor moveWithCells="1">
              <from>
                <xdr:col>0</xdr:col>
                <xdr:colOff>0</xdr:colOff>
                <xdr:row>0</xdr:row>
                <xdr:rowOff>0</xdr:rowOff>
              </from>
              <to>
                <xdr:col>4</xdr:col>
                <xdr:colOff>114300</xdr:colOff>
                <xdr:row>1</xdr:row>
                <xdr:rowOff>38100</xdr:rowOff>
              </to>
            </anchor>
          </controlPr>
        </control>
      </mc:Choice>
      <mc:Fallback>
        <control shapeId="2049" r:id="rId6" name="FILTER"/>
      </mc:Fallback>
    </mc:AlternateContent>
    <mc:AlternateContent xmlns:mc="http://schemas.openxmlformats.org/markup-compatibility/2006">
      <mc:Choice Requires="x14">
        <control shapeId="2050" r:id="rId4" name="HEADER">
          <controlPr defaultSize="0" autoLine="0" r:id="rId5">
            <anchor moveWithCells="1">
              <from>
                <xdr:col>0</xdr:col>
                <xdr:colOff>0</xdr:colOff>
                <xdr:row>0</xdr:row>
                <xdr:rowOff>0</xdr:rowOff>
              </from>
              <to>
                <xdr:col>4</xdr:col>
                <xdr:colOff>114300</xdr:colOff>
                <xdr:row>1</xdr:row>
                <xdr:rowOff>38100</xdr:rowOff>
              </to>
            </anchor>
          </controlPr>
        </control>
      </mc:Choice>
      <mc:Fallback>
        <control shapeId="2050" r:id="rId4" name="HEADER"/>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C9FB-FDBC-487C-ACF7-E8C34BB69230}">
  <sheetPr codeName="Sheet1"/>
  <dimension ref="A1:AG115"/>
  <sheetViews>
    <sheetView workbookViewId="0">
      <pane xSplit="6" ySplit="1" topLeftCell="G62" activePane="bottomRight" state="frozenSplit"/>
      <selection pane="bottomRight" activeCell="AG110" sqref="AG110"/>
      <selection pane="bottomLeft" activeCell="A2" sqref="A2"/>
      <selection pane="topRight" activeCell="G1" sqref="G1"/>
    </sheetView>
  </sheetViews>
  <sheetFormatPr defaultRowHeight="14.45"/>
  <cols>
    <col min="1" max="5" width="2.85546875" style="174" customWidth="1"/>
    <col min="6" max="6" width="35.42578125" style="174" customWidth="1"/>
    <col min="7" max="7" width="8.28515625" bestFit="1" customWidth="1"/>
    <col min="8" max="8" width="2.28515625" customWidth="1"/>
    <col min="9" max="9" width="8.28515625" bestFit="1" customWidth="1"/>
    <col min="10" max="10" width="2.28515625" customWidth="1"/>
    <col min="11" max="11" width="8.28515625" bestFit="1" customWidth="1"/>
    <col min="12" max="12" width="2.28515625" customWidth="1"/>
    <col min="13" max="13" width="8.28515625" bestFit="1" customWidth="1"/>
    <col min="14" max="14" width="2.28515625" customWidth="1"/>
    <col min="15" max="15" width="8.28515625" bestFit="1" customWidth="1"/>
    <col min="16" max="16" width="2.28515625" customWidth="1"/>
    <col min="17" max="17" width="8.28515625" bestFit="1" customWidth="1"/>
    <col min="18" max="18" width="2.28515625" customWidth="1"/>
    <col min="19" max="19" width="8.28515625" bestFit="1" customWidth="1"/>
    <col min="20" max="20" width="2.28515625" customWidth="1"/>
    <col min="21" max="21" width="8.28515625" bestFit="1" customWidth="1"/>
    <col min="22" max="22" width="2.28515625" customWidth="1"/>
    <col min="23" max="23" width="8.28515625" bestFit="1" customWidth="1"/>
    <col min="24" max="24" width="2.28515625" customWidth="1"/>
    <col min="25" max="25" width="8.28515625" bestFit="1" customWidth="1"/>
    <col min="26" max="26" width="2.28515625" customWidth="1"/>
    <col min="27" max="27" width="8.28515625" bestFit="1" customWidth="1"/>
    <col min="28" max="28" width="2.28515625" customWidth="1"/>
    <col min="29" max="29" width="8.28515625" bestFit="1" customWidth="1"/>
    <col min="30" max="30" width="2.28515625" customWidth="1"/>
    <col min="31" max="31" width="9.5703125" bestFit="1" customWidth="1"/>
    <col min="32" max="32" width="10.42578125" bestFit="1" customWidth="1"/>
    <col min="33" max="33" width="11.85546875" bestFit="1" customWidth="1"/>
  </cols>
  <sheetData>
    <row r="1" spans="1:31" s="178" customFormat="1" ht="15" thickBot="1">
      <c r="A1" s="175"/>
      <c r="B1" s="175"/>
      <c r="C1" s="175"/>
      <c r="D1" s="175"/>
      <c r="E1" s="175"/>
      <c r="F1" s="175"/>
      <c r="G1" s="176" t="s">
        <v>268</v>
      </c>
      <c r="H1" s="177"/>
      <c r="I1" s="176" t="s">
        <v>269</v>
      </c>
      <c r="J1" s="177"/>
      <c r="K1" s="176" t="s">
        <v>270</v>
      </c>
      <c r="L1" s="177"/>
      <c r="M1" s="176" t="s">
        <v>271</v>
      </c>
      <c r="N1" s="177"/>
      <c r="O1" s="176" t="s">
        <v>272</v>
      </c>
      <c r="P1" s="177"/>
      <c r="Q1" s="176" t="s">
        <v>273</v>
      </c>
      <c r="R1" s="177"/>
      <c r="S1" s="176" t="s">
        <v>274</v>
      </c>
      <c r="T1" s="177"/>
      <c r="U1" s="176" t="s">
        <v>275</v>
      </c>
      <c r="V1" s="177"/>
      <c r="W1" s="176" t="s">
        <v>276</v>
      </c>
      <c r="X1" s="177"/>
      <c r="Y1" s="176" t="s">
        <v>277</v>
      </c>
      <c r="Z1" s="177"/>
      <c r="AA1" s="176" t="s">
        <v>278</v>
      </c>
      <c r="AB1" s="177"/>
      <c r="AC1" s="176" t="s">
        <v>279</v>
      </c>
      <c r="AD1" s="177"/>
      <c r="AE1" s="176" t="s">
        <v>151</v>
      </c>
    </row>
    <row r="2" spans="1:31" ht="15" thickTop="1">
      <c r="A2" s="167"/>
      <c r="B2" s="167" t="s">
        <v>152</v>
      </c>
      <c r="C2" s="167"/>
      <c r="D2" s="167"/>
      <c r="E2" s="167"/>
      <c r="F2" s="167"/>
      <c r="G2" s="168"/>
      <c r="H2" s="169"/>
      <c r="I2" s="168"/>
      <c r="J2" s="169"/>
      <c r="K2" s="168"/>
      <c r="L2" s="169"/>
      <c r="M2" s="168"/>
      <c r="N2" s="169"/>
      <c r="O2" s="168"/>
      <c r="P2" s="169"/>
      <c r="Q2" s="168"/>
      <c r="R2" s="169"/>
      <c r="S2" s="168"/>
      <c r="T2" s="169"/>
      <c r="U2" s="168"/>
      <c r="V2" s="169"/>
      <c r="W2" s="168"/>
      <c r="X2" s="169"/>
      <c r="Y2" s="168"/>
      <c r="Z2" s="169"/>
      <c r="AA2" s="168"/>
      <c r="AB2" s="169"/>
      <c r="AC2" s="168"/>
      <c r="AD2" s="169"/>
      <c r="AE2" s="168"/>
    </row>
    <row r="3" spans="1:31">
      <c r="A3" s="167"/>
      <c r="B3" s="167"/>
      <c r="C3" s="167"/>
      <c r="D3" s="167" t="s">
        <v>153</v>
      </c>
      <c r="E3" s="167"/>
      <c r="F3" s="167"/>
      <c r="G3" s="168"/>
      <c r="H3" s="169"/>
      <c r="I3" s="168"/>
      <c r="J3" s="169"/>
      <c r="K3" s="168"/>
      <c r="L3" s="169"/>
      <c r="M3" s="168"/>
      <c r="N3" s="169"/>
      <c r="O3" s="168"/>
      <c r="P3" s="169"/>
      <c r="Q3" s="168"/>
      <c r="R3" s="169"/>
      <c r="S3" s="168"/>
      <c r="T3" s="169"/>
      <c r="U3" s="168"/>
      <c r="V3" s="169"/>
      <c r="W3" s="168"/>
      <c r="X3" s="169"/>
      <c r="Y3" s="168"/>
      <c r="Z3" s="169"/>
      <c r="AA3" s="168"/>
      <c r="AB3" s="169"/>
      <c r="AC3" s="168"/>
      <c r="AD3" s="169"/>
      <c r="AE3" s="168"/>
    </row>
    <row r="4" spans="1:31">
      <c r="A4" s="167"/>
      <c r="B4" s="167"/>
      <c r="C4" s="167"/>
      <c r="D4" s="167"/>
      <c r="E4" s="167" t="s">
        <v>154</v>
      </c>
      <c r="F4" s="167"/>
      <c r="G4" s="168"/>
      <c r="H4" s="169"/>
      <c r="I4" s="168"/>
      <c r="J4" s="169"/>
      <c r="K4" s="168"/>
      <c r="L4" s="169"/>
      <c r="M4" s="168"/>
      <c r="N4" s="169"/>
      <c r="O4" s="168"/>
      <c r="P4" s="169"/>
      <c r="Q4" s="168"/>
      <c r="R4" s="169"/>
      <c r="S4" s="168"/>
      <c r="T4" s="169"/>
      <c r="U4" s="168"/>
      <c r="V4" s="169"/>
      <c r="W4" s="168"/>
      <c r="X4" s="169"/>
      <c r="Y4" s="168"/>
      <c r="Z4" s="169"/>
      <c r="AA4" s="168"/>
      <c r="AB4" s="169"/>
      <c r="AC4" s="168"/>
      <c r="AD4" s="169"/>
      <c r="AE4" s="168"/>
    </row>
    <row r="5" spans="1:31">
      <c r="A5" s="167"/>
      <c r="B5" s="167"/>
      <c r="C5" s="167"/>
      <c r="D5" s="167"/>
      <c r="E5" s="167"/>
      <c r="F5" s="167" t="s">
        <v>155</v>
      </c>
      <c r="G5" s="168">
        <v>1849.08</v>
      </c>
      <c r="H5" s="169"/>
      <c r="I5" s="168">
        <v>2456.48</v>
      </c>
      <c r="J5" s="169"/>
      <c r="K5" s="168">
        <v>2761.04</v>
      </c>
      <c r="L5" s="169"/>
      <c r="M5" s="168">
        <v>3289.55</v>
      </c>
      <c r="N5" s="169"/>
      <c r="O5" s="168">
        <v>4034.22</v>
      </c>
      <c r="P5" s="169"/>
      <c r="Q5" s="168">
        <v>5112.3100000000004</v>
      </c>
      <c r="R5" s="169"/>
      <c r="S5" s="168">
        <v>6235.01</v>
      </c>
      <c r="T5" s="169"/>
      <c r="U5" s="168">
        <v>5770.1</v>
      </c>
      <c r="V5" s="169"/>
      <c r="W5" s="168">
        <v>6446.41</v>
      </c>
      <c r="X5" s="169"/>
      <c r="Y5" s="168">
        <v>6823.02</v>
      </c>
      <c r="Z5" s="169"/>
      <c r="AA5" s="168">
        <v>6969.46</v>
      </c>
      <c r="AB5" s="169"/>
      <c r="AC5" s="168">
        <v>7200.37</v>
      </c>
      <c r="AD5" s="169"/>
      <c r="AE5" s="168">
        <f>ROUND(SUM(G5:AC5),5)</f>
        <v>58947.05</v>
      </c>
    </row>
    <row r="6" spans="1:31" ht="15" thickBot="1">
      <c r="A6" s="167"/>
      <c r="B6" s="167"/>
      <c r="C6" s="167"/>
      <c r="D6" s="167"/>
      <c r="E6" s="167"/>
      <c r="F6" s="167" t="s">
        <v>156</v>
      </c>
      <c r="G6" s="170">
        <v>2000</v>
      </c>
      <c r="H6" s="169"/>
      <c r="I6" s="170">
        <v>2000</v>
      </c>
      <c r="J6" s="169"/>
      <c r="K6" s="170">
        <v>2000</v>
      </c>
      <c r="L6" s="169"/>
      <c r="M6" s="170">
        <v>2000</v>
      </c>
      <c r="N6" s="169"/>
      <c r="O6" s="170">
        <v>2000</v>
      </c>
      <c r="P6" s="169"/>
      <c r="Q6" s="170">
        <v>2000</v>
      </c>
      <c r="R6" s="169"/>
      <c r="S6" s="170">
        <v>2000</v>
      </c>
      <c r="T6" s="169"/>
      <c r="U6" s="170">
        <v>2000</v>
      </c>
      <c r="V6" s="169"/>
      <c r="W6" s="170">
        <v>2000</v>
      </c>
      <c r="X6" s="169"/>
      <c r="Y6" s="170">
        <v>2000</v>
      </c>
      <c r="Z6" s="169"/>
      <c r="AA6" s="170">
        <v>2000</v>
      </c>
      <c r="AB6" s="169"/>
      <c r="AC6" s="170">
        <v>2000</v>
      </c>
      <c r="AD6" s="169"/>
      <c r="AE6" s="170">
        <f>ROUND(SUM(G6:AC6),5)</f>
        <v>24000</v>
      </c>
    </row>
    <row r="7" spans="1:31">
      <c r="A7" s="167"/>
      <c r="B7" s="167"/>
      <c r="C7" s="167"/>
      <c r="D7" s="167"/>
      <c r="E7" s="167" t="s">
        <v>157</v>
      </c>
      <c r="F7" s="167"/>
      <c r="G7" s="168">
        <f>ROUND(SUM(G4:G6),5)</f>
        <v>3849.08</v>
      </c>
      <c r="H7" s="169"/>
      <c r="I7" s="168">
        <f>ROUND(SUM(I4:I6),5)</f>
        <v>4456.4799999999996</v>
      </c>
      <c r="J7" s="169"/>
      <c r="K7" s="168">
        <f>ROUND(SUM(K4:K6),5)</f>
        <v>4761.04</v>
      </c>
      <c r="L7" s="169"/>
      <c r="M7" s="168">
        <f>ROUND(SUM(M4:M6),5)</f>
        <v>5289.55</v>
      </c>
      <c r="N7" s="169"/>
      <c r="O7" s="168">
        <f>ROUND(SUM(O4:O6),5)</f>
        <v>6034.22</v>
      </c>
      <c r="P7" s="169"/>
      <c r="Q7" s="168">
        <f>ROUND(SUM(Q4:Q6),5)</f>
        <v>7112.31</v>
      </c>
      <c r="R7" s="169"/>
      <c r="S7" s="168">
        <f>ROUND(SUM(S4:S6),5)</f>
        <v>8235.01</v>
      </c>
      <c r="T7" s="169"/>
      <c r="U7" s="168">
        <f>ROUND(SUM(U4:U6),5)</f>
        <v>7770.1</v>
      </c>
      <c r="V7" s="169"/>
      <c r="W7" s="168">
        <f>ROUND(SUM(W4:W6),5)</f>
        <v>8446.41</v>
      </c>
      <c r="X7" s="169"/>
      <c r="Y7" s="168">
        <f>ROUND(SUM(Y4:Y6),5)</f>
        <v>8823.02</v>
      </c>
      <c r="Z7" s="169"/>
      <c r="AA7" s="168">
        <f>ROUND(SUM(AA4:AA6),5)</f>
        <v>8969.4599999999991</v>
      </c>
      <c r="AB7" s="169"/>
      <c r="AC7" s="168">
        <f>ROUND(SUM(AC4:AC6),5)</f>
        <v>9200.3700000000008</v>
      </c>
      <c r="AD7" s="169"/>
      <c r="AE7" s="168">
        <f>ROUND(SUM(G7:AC7),5)</f>
        <v>82947.05</v>
      </c>
    </row>
    <row r="8" spans="1:31">
      <c r="A8" s="167"/>
      <c r="B8" s="167"/>
      <c r="C8" s="167"/>
      <c r="D8" s="167"/>
      <c r="E8" s="167" t="s">
        <v>159</v>
      </c>
      <c r="F8" s="167"/>
      <c r="G8" s="168">
        <v>0</v>
      </c>
      <c r="H8" s="169"/>
      <c r="I8" s="168">
        <v>0</v>
      </c>
      <c r="J8" s="169"/>
      <c r="K8" s="168">
        <v>0</v>
      </c>
      <c r="L8" s="169"/>
      <c r="M8" s="168">
        <v>0</v>
      </c>
      <c r="N8" s="169"/>
      <c r="O8" s="168">
        <v>0</v>
      </c>
      <c r="P8" s="169"/>
      <c r="Q8" s="168">
        <v>0</v>
      </c>
      <c r="R8" s="169"/>
      <c r="S8" s="168">
        <v>946.1</v>
      </c>
      <c r="T8" s="169"/>
      <c r="U8" s="168">
        <v>0</v>
      </c>
      <c r="V8" s="169"/>
      <c r="W8" s="168">
        <v>0</v>
      </c>
      <c r="X8" s="169"/>
      <c r="Y8" s="168">
        <v>0</v>
      </c>
      <c r="Z8" s="169"/>
      <c r="AA8" s="168">
        <v>0</v>
      </c>
      <c r="AB8" s="169"/>
      <c r="AC8" s="168">
        <v>0</v>
      </c>
      <c r="AD8" s="169"/>
      <c r="AE8" s="168">
        <f>ROUND(SUM(G8:AC8),5)</f>
        <v>946.1</v>
      </c>
    </row>
    <row r="9" spans="1:31">
      <c r="A9" s="167"/>
      <c r="B9" s="167"/>
      <c r="C9" s="167"/>
      <c r="D9" s="167"/>
      <c r="E9" s="167" t="s">
        <v>160</v>
      </c>
      <c r="F9" s="167"/>
      <c r="G9" s="168"/>
      <c r="H9" s="169"/>
      <c r="I9" s="168"/>
      <c r="J9" s="169"/>
      <c r="K9" s="168"/>
      <c r="L9" s="169"/>
      <c r="M9" s="168"/>
      <c r="N9" s="169"/>
      <c r="O9" s="168"/>
      <c r="P9" s="169"/>
      <c r="Q9" s="168"/>
      <c r="R9" s="169"/>
      <c r="S9" s="168"/>
      <c r="T9" s="169"/>
      <c r="U9" s="168"/>
      <c r="V9" s="169"/>
      <c r="W9" s="168"/>
      <c r="X9" s="169"/>
      <c r="Y9" s="168"/>
      <c r="Z9" s="169"/>
      <c r="AA9" s="168"/>
      <c r="AB9" s="169"/>
      <c r="AC9" s="168"/>
      <c r="AD9" s="169"/>
      <c r="AE9" s="168"/>
    </row>
    <row r="10" spans="1:31">
      <c r="A10" s="167"/>
      <c r="B10" s="167"/>
      <c r="C10" s="167"/>
      <c r="D10" s="167"/>
      <c r="E10" s="167"/>
      <c r="F10" s="167" t="s">
        <v>161</v>
      </c>
      <c r="G10" s="168">
        <v>129017.1</v>
      </c>
      <c r="H10" s="169"/>
      <c r="I10" s="168">
        <v>151664.6</v>
      </c>
      <c r="J10" s="169"/>
      <c r="K10" s="168">
        <v>142178.47</v>
      </c>
      <c r="L10" s="169"/>
      <c r="M10" s="168">
        <v>133088.10999999999</v>
      </c>
      <c r="N10" s="169"/>
      <c r="O10" s="168">
        <v>130535.99</v>
      </c>
      <c r="P10" s="169"/>
      <c r="Q10" s="168">
        <v>128391.13</v>
      </c>
      <c r="R10" s="169"/>
      <c r="S10" s="168">
        <v>123232.22</v>
      </c>
      <c r="T10" s="169"/>
      <c r="U10" s="168">
        <v>124274.4</v>
      </c>
      <c r="V10" s="169"/>
      <c r="W10" s="168">
        <v>125960.03</v>
      </c>
      <c r="X10" s="169"/>
      <c r="Y10" s="168">
        <v>132495.82</v>
      </c>
      <c r="Z10" s="169"/>
      <c r="AA10" s="168">
        <v>133983.35999999999</v>
      </c>
      <c r="AB10" s="169"/>
      <c r="AC10" s="168">
        <v>127558.06</v>
      </c>
      <c r="AD10" s="169"/>
      <c r="AE10" s="168">
        <f>ROUND(SUM(G10:AC10),5)</f>
        <v>1582379.29</v>
      </c>
    </row>
    <row r="11" spans="1:31">
      <c r="A11" s="167"/>
      <c r="B11" s="167"/>
      <c r="C11" s="167"/>
      <c r="D11" s="167"/>
      <c r="E11" s="167"/>
      <c r="F11" s="167" t="s">
        <v>162</v>
      </c>
      <c r="G11" s="168">
        <v>0</v>
      </c>
      <c r="H11" s="169"/>
      <c r="I11" s="168">
        <v>0</v>
      </c>
      <c r="J11" s="169"/>
      <c r="K11" s="168">
        <v>0</v>
      </c>
      <c r="L11" s="169"/>
      <c r="M11" s="168">
        <v>0</v>
      </c>
      <c r="N11" s="169"/>
      <c r="O11" s="168">
        <v>0</v>
      </c>
      <c r="P11" s="169"/>
      <c r="Q11" s="168">
        <v>6024.22</v>
      </c>
      <c r="R11" s="169"/>
      <c r="S11" s="168">
        <v>0</v>
      </c>
      <c r="T11" s="169"/>
      <c r="U11" s="168">
        <v>0</v>
      </c>
      <c r="V11" s="169"/>
      <c r="W11" s="168">
        <v>0</v>
      </c>
      <c r="X11" s="169"/>
      <c r="Y11" s="168">
        <v>0</v>
      </c>
      <c r="Z11" s="169"/>
      <c r="AA11" s="168">
        <v>0</v>
      </c>
      <c r="AB11" s="169"/>
      <c r="AC11" s="168">
        <v>6765.53</v>
      </c>
      <c r="AD11" s="169"/>
      <c r="AE11" s="168">
        <f>ROUND(SUM(G11:AC11),5)</f>
        <v>12789.75</v>
      </c>
    </row>
    <row r="12" spans="1:31" ht="15" thickBot="1">
      <c r="A12" s="167"/>
      <c r="B12" s="167"/>
      <c r="C12" s="167"/>
      <c r="D12" s="167"/>
      <c r="E12" s="167"/>
      <c r="F12" s="167" t="s">
        <v>163</v>
      </c>
      <c r="G12" s="170">
        <v>7894.88</v>
      </c>
      <c r="H12" s="169"/>
      <c r="I12" s="170">
        <v>7895</v>
      </c>
      <c r="J12" s="169"/>
      <c r="K12" s="170">
        <v>7894.93</v>
      </c>
      <c r="L12" s="169"/>
      <c r="M12" s="170">
        <v>7507.43</v>
      </c>
      <c r="N12" s="169"/>
      <c r="O12" s="170">
        <v>7344.35</v>
      </c>
      <c r="P12" s="169"/>
      <c r="Q12" s="170">
        <v>7389.18</v>
      </c>
      <c r="R12" s="169"/>
      <c r="S12" s="170">
        <v>6750.77</v>
      </c>
      <c r="T12" s="169"/>
      <c r="U12" s="170">
        <v>6392.46</v>
      </c>
      <c r="V12" s="169"/>
      <c r="W12" s="170">
        <v>6994.93</v>
      </c>
      <c r="X12" s="169"/>
      <c r="Y12" s="170">
        <v>7520.41</v>
      </c>
      <c r="Z12" s="169"/>
      <c r="AA12" s="170">
        <v>8865.92</v>
      </c>
      <c r="AB12" s="169"/>
      <c r="AC12" s="170">
        <v>7434.02</v>
      </c>
      <c r="AD12" s="169"/>
      <c r="AE12" s="170">
        <f>ROUND(SUM(G12:AC12),5)</f>
        <v>89884.28</v>
      </c>
    </row>
    <row r="13" spans="1:31">
      <c r="A13" s="167"/>
      <c r="B13" s="167"/>
      <c r="C13" s="167"/>
      <c r="D13" s="167"/>
      <c r="E13" s="167" t="s">
        <v>164</v>
      </c>
      <c r="F13" s="167"/>
      <c r="G13" s="168">
        <f>ROUND(SUM(G9:G12),5)</f>
        <v>136911.98000000001</v>
      </c>
      <c r="H13" s="169"/>
      <c r="I13" s="168">
        <f>ROUND(SUM(I9:I12),5)</f>
        <v>159559.6</v>
      </c>
      <c r="J13" s="169"/>
      <c r="K13" s="168">
        <f>ROUND(SUM(K9:K12),5)</f>
        <v>150073.4</v>
      </c>
      <c r="L13" s="169"/>
      <c r="M13" s="168">
        <f>ROUND(SUM(M9:M12),5)</f>
        <v>140595.54</v>
      </c>
      <c r="N13" s="169"/>
      <c r="O13" s="168">
        <f>ROUND(SUM(O9:O12),5)</f>
        <v>137880.34</v>
      </c>
      <c r="P13" s="169"/>
      <c r="Q13" s="168">
        <f>ROUND(SUM(Q9:Q12),5)</f>
        <v>141804.53</v>
      </c>
      <c r="R13" s="169"/>
      <c r="S13" s="168">
        <f>ROUND(SUM(S9:S12),5)</f>
        <v>129982.99</v>
      </c>
      <c r="T13" s="169"/>
      <c r="U13" s="168">
        <f>ROUND(SUM(U9:U12),5)</f>
        <v>130666.86</v>
      </c>
      <c r="V13" s="169"/>
      <c r="W13" s="168">
        <f>ROUND(SUM(W9:W12),5)</f>
        <v>132954.96</v>
      </c>
      <c r="X13" s="169"/>
      <c r="Y13" s="168">
        <f>ROUND(SUM(Y9:Y12),5)</f>
        <v>140016.23000000001</v>
      </c>
      <c r="Z13" s="169"/>
      <c r="AA13" s="168">
        <f>ROUND(SUM(AA9:AA12),5)</f>
        <v>142849.28</v>
      </c>
      <c r="AB13" s="169"/>
      <c r="AC13" s="168">
        <f>ROUND(SUM(AC9:AC12),5)</f>
        <v>141757.60999999999</v>
      </c>
      <c r="AD13" s="169"/>
      <c r="AE13" s="168">
        <f>ROUND(SUM(G13:AC13),5)</f>
        <v>1685053.32</v>
      </c>
    </row>
    <row r="14" spans="1:31">
      <c r="A14" s="167"/>
      <c r="B14" s="167"/>
      <c r="C14" s="167"/>
      <c r="D14" s="167"/>
      <c r="E14" s="167" t="s">
        <v>165</v>
      </c>
      <c r="F14" s="167"/>
      <c r="G14" s="168"/>
      <c r="H14" s="169"/>
      <c r="I14" s="168"/>
      <c r="J14" s="169"/>
      <c r="K14" s="168"/>
      <c r="L14" s="169"/>
      <c r="M14" s="168"/>
      <c r="N14" s="169"/>
      <c r="O14" s="168"/>
      <c r="P14" s="169"/>
      <c r="Q14" s="168"/>
      <c r="R14" s="169"/>
      <c r="S14" s="168"/>
      <c r="T14" s="169"/>
      <c r="U14" s="168"/>
      <c r="V14" s="169"/>
      <c r="W14" s="168"/>
      <c r="X14" s="169"/>
      <c r="Y14" s="168"/>
      <c r="Z14" s="169"/>
      <c r="AA14" s="168"/>
      <c r="AB14" s="169"/>
      <c r="AC14" s="168"/>
      <c r="AD14" s="169"/>
      <c r="AE14" s="168"/>
    </row>
    <row r="15" spans="1:31">
      <c r="A15" s="167"/>
      <c r="B15" s="167"/>
      <c r="C15" s="167"/>
      <c r="D15" s="167"/>
      <c r="E15" s="167"/>
      <c r="F15" s="167" t="s">
        <v>166</v>
      </c>
      <c r="G15" s="168">
        <v>22049.07</v>
      </c>
      <c r="H15" s="169"/>
      <c r="I15" s="168">
        <v>22072.83</v>
      </c>
      <c r="J15" s="169"/>
      <c r="K15" s="168">
        <v>22036.91</v>
      </c>
      <c r="L15" s="169"/>
      <c r="M15" s="168">
        <v>21667.62</v>
      </c>
      <c r="N15" s="169"/>
      <c r="O15" s="168">
        <v>21607.75</v>
      </c>
      <c r="P15" s="169"/>
      <c r="Q15" s="168">
        <v>20811.46</v>
      </c>
      <c r="R15" s="169"/>
      <c r="S15" s="168">
        <v>19672.95</v>
      </c>
      <c r="T15" s="169"/>
      <c r="U15" s="168">
        <v>18815.71</v>
      </c>
      <c r="V15" s="169"/>
      <c r="W15" s="168">
        <v>19460.78</v>
      </c>
      <c r="X15" s="169"/>
      <c r="Y15" s="168">
        <v>19770.91</v>
      </c>
      <c r="Z15" s="169"/>
      <c r="AA15" s="168">
        <v>20411.259999999998</v>
      </c>
      <c r="AB15" s="169"/>
      <c r="AC15" s="168">
        <v>19858.63</v>
      </c>
      <c r="AD15" s="169"/>
      <c r="AE15" s="168">
        <f t="shared" ref="AE15:AE20" si="0">ROUND(SUM(G15:AC15),5)</f>
        <v>248235.88</v>
      </c>
    </row>
    <row r="16" spans="1:31">
      <c r="A16" s="167"/>
      <c r="B16" s="167"/>
      <c r="C16" s="167"/>
      <c r="D16" s="167"/>
      <c r="E16" s="167"/>
      <c r="F16" s="167" t="s">
        <v>167</v>
      </c>
      <c r="G16" s="168">
        <v>22667.88</v>
      </c>
      <c r="H16" s="169"/>
      <c r="I16" s="168">
        <v>0</v>
      </c>
      <c r="J16" s="169"/>
      <c r="K16" s="168">
        <v>22668.6</v>
      </c>
      <c r="L16" s="169"/>
      <c r="M16" s="168">
        <v>22668.12</v>
      </c>
      <c r="N16" s="169"/>
      <c r="O16" s="168">
        <v>22668.12</v>
      </c>
      <c r="P16" s="169"/>
      <c r="Q16" s="168">
        <v>51232.22</v>
      </c>
      <c r="R16" s="169"/>
      <c r="S16" s="168">
        <v>25816.71</v>
      </c>
      <c r="T16" s="169"/>
      <c r="U16" s="168">
        <v>25056.51</v>
      </c>
      <c r="V16" s="169"/>
      <c r="W16" s="168">
        <v>26848.19</v>
      </c>
      <c r="X16" s="169"/>
      <c r="Y16" s="168">
        <v>27502.85</v>
      </c>
      <c r="Z16" s="169"/>
      <c r="AA16" s="168">
        <v>29819.78</v>
      </c>
      <c r="AB16" s="169"/>
      <c r="AC16" s="168">
        <v>26542.09</v>
      </c>
      <c r="AD16" s="169"/>
      <c r="AE16" s="168">
        <f t="shared" si="0"/>
        <v>303491.07</v>
      </c>
    </row>
    <row r="17" spans="1:31">
      <c r="A17" s="167"/>
      <c r="B17" s="167"/>
      <c r="C17" s="167"/>
      <c r="D17" s="167"/>
      <c r="E17" s="167"/>
      <c r="F17" s="167" t="s">
        <v>168</v>
      </c>
      <c r="G17" s="168">
        <v>2047.38</v>
      </c>
      <c r="H17" s="169"/>
      <c r="I17" s="168">
        <v>2047.38</v>
      </c>
      <c r="J17" s="169"/>
      <c r="K17" s="168">
        <v>2054.7600000000002</v>
      </c>
      <c r="L17" s="169"/>
      <c r="M17" s="168">
        <v>1805.27</v>
      </c>
      <c r="N17" s="169"/>
      <c r="O17" s="168">
        <v>1977.08</v>
      </c>
      <c r="P17" s="169"/>
      <c r="Q17" s="168">
        <v>1939.49</v>
      </c>
      <c r="R17" s="169"/>
      <c r="S17" s="168">
        <v>1864.16</v>
      </c>
      <c r="T17" s="169"/>
      <c r="U17" s="168">
        <v>1714.9</v>
      </c>
      <c r="V17" s="169"/>
      <c r="W17" s="168">
        <v>2598.5</v>
      </c>
      <c r="X17" s="169"/>
      <c r="Y17" s="168">
        <v>1996.55</v>
      </c>
      <c r="Z17" s="169"/>
      <c r="AA17" s="168">
        <v>2497.5700000000002</v>
      </c>
      <c r="AB17" s="169"/>
      <c r="AC17" s="168">
        <v>1936.33</v>
      </c>
      <c r="AD17" s="169"/>
      <c r="AE17" s="168">
        <f t="shared" si="0"/>
        <v>24479.37</v>
      </c>
    </row>
    <row r="18" spans="1:31">
      <c r="A18" s="167"/>
      <c r="B18" s="167"/>
      <c r="C18" s="167"/>
      <c r="D18" s="167"/>
      <c r="E18" s="167"/>
      <c r="F18" s="167" t="s">
        <v>169</v>
      </c>
      <c r="G18" s="168">
        <v>5654.86</v>
      </c>
      <c r="H18" s="169"/>
      <c r="I18" s="168">
        <v>5655.03</v>
      </c>
      <c r="J18" s="169"/>
      <c r="K18" s="168">
        <v>5654.08</v>
      </c>
      <c r="L18" s="169"/>
      <c r="M18" s="168">
        <v>5328.93</v>
      </c>
      <c r="N18" s="169"/>
      <c r="O18" s="168">
        <v>5273.85</v>
      </c>
      <c r="P18" s="169"/>
      <c r="Q18" s="168">
        <v>5269.79</v>
      </c>
      <c r="R18" s="169"/>
      <c r="S18" s="168">
        <v>5117.7700000000004</v>
      </c>
      <c r="T18" s="169"/>
      <c r="U18" s="168">
        <v>5028.12</v>
      </c>
      <c r="V18" s="169"/>
      <c r="W18" s="168">
        <v>5168.3500000000004</v>
      </c>
      <c r="X18" s="169"/>
      <c r="Y18" s="168">
        <v>5264.6</v>
      </c>
      <c r="Z18" s="169"/>
      <c r="AA18" s="168">
        <v>5611.81</v>
      </c>
      <c r="AB18" s="169"/>
      <c r="AC18" s="168">
        <v>5326.05</v>
      </c>
      <c r="AD18" s="169"/>
      <c r="AE18" s="168">
        <f t="shared" si="0"/>
        <v>64353.24</v>
      </c>
    </row>
    <row r="19" spans="1:31" ht="15" thickBot="1">
      <c r="A19" s="167"/>
      <c r="B19" s="167"/>
      <c r="C19" s="167"/>
      <c r="D19" s="167"/>
      <c r="E19" s="167"/>
      <c r="F19" s="167" t="s">
        <v>170</v>
      </c>
      <c r="G19" s="170">
        <v>0</v>
      </c>
      <c r="H19" s="169"/>
      <c r="I19" s="170">
        <v>0</v>
      </c>
      <c r="J19" s="169"/>
      <c r="K19" s="170">
        <v>0</v>
      </c>
      <c r="L19" s="169"/>
      <c r="M19" s="170">
        <v>0</v>
      </c>
      <c r="N19" s="169"/>
      <c r="O19" s="170">
        <v>900</v>
      </c>
      <c r="P19" s="169"/>
      <c r="Q19" s="170">
        <v>0</v>
      </c>
      <c r="R19" s="169"/>
      <c r="S19" s="170">
        <v>0</v>
      </c>
      <c r="T19" s="169"/>
      <c r="U19" s="170">
        <v>0</v>
      </c>
      <c r="V19" s="169"/>
      <c r="W19" s="170">
        <v>1062.67</v>
      </c>
      <c r="X19" s="169"/>
      <c r="Y19" s="170">
        <v>0</v>
      </c>
      <c r="Z19" s="169"/>
      <c r="AA19" s="170">
        <v>3600</v>
      </c>
      <c r="AB19" s="169"/>
      <c r="AC19" s="170">
        <v>25500</v>
      </c>
      <c r="AD19" s="169"/>
      <c r="AE19" s="170">
        <f t="shared" si="0"/>
        <v>31062.67</v>
      </c>
    </row>
    <row r="20" spans="1:31">
      <c r="A20" s="167"/>
      <c r="B20" s="167"/>
      <c r="C20" s="167"/>
      <c r="D20" s="167"/>
      <c r="E20" s="167" t="s">
        <v>171</v>
      </c>
      <c r="F20" s="167"/>
      <c r="G20" s="168">
        <f>ROUND(SUM(G14:G19),5)</f>
        <v>52419.19</v>
      </c>
      <c r="H20" s="169"/>
      <c r="I20" s="168">
        <f>ROUND(SUM(I14:I19),5)</f>
        <v>29775.24</v>
      </c>
      <c r="J20" s="169"/>
      <c r="K20" s="168">
        <f>ROUND(SUM(K14:K19),5)</f>
        <v>52414.35</v>
      </c>
      <c r="L20" s="169"/>
      <c r="M20" s="168">
        <f>ROUND(SUM(M14:M19),5)</f>
        <v>51469.94</v>
      </c>
      <c r="N20" s="169"/>
      <c r="O20" s="168">
        <f>ROUND(SUM(O14:O19),5)</f>
        <v>52426.8</v>
      </c>
      <c r="P20" s="169"/>
      <c r="Q20" s="168">
        <f>ROUND(SUM(Q14:Q19),5)</f>
        <v>79252.960000000006</v>
      </c>
      <c r="R20" s="169"/>
      <c r="S20" s="168">
        <f>ROUND(SUM(S14:S19),5)</f>
        <v>52471.59</v>
      </c>
      <c r="T20" s="169"/>
      <c r="U20" s="168">
        <f>ROUND(SUM(U14:U19),5)</f>
        <v>50615.24</v>
      </c>
      <c r="V20" s="169"/>
      <c r="W20" s="168">
        <f>ROUND(SUM(W14:W19),5)</f>
        <v>55138.49</v>
      </c>
      <c r="X20" s="169"/>
      <c r="Y20" s="168">
        <f>ROUND(SUM(Y14:Y19),5)</f>
        <v>54534.91</v>
      </c>
      <c r="Z20" s="169"/>
      <c r="AA20" s="168">
        <f>ROUND(SUM(AA14:AA19),5)</f>
        <v>61940.42</v>
      </c>
      <c r="AB20" s="169"/>
      <c r="AC20" s="168">
        <f>ROUND(SUM(AC14:AC19),5)</f>
        <v>79163.100000000006</v>
      </c>
      <c r="AD20" s="169"/>
      <c r="AE20" s="168">
        <f t="shared" si="0"/>
        <v>671622.23</v>
      </c>
    </row>
    <row r="21" spans="1:31">
      <c r="A21" s="167"/>
      <c r="B21" s="167"/>
      <c r="C21" s="167"/>
      <c r="D21" s="167"/>
      <c r="E21" s="167" t="s">
        <v>172</v>
      </c>
      <c r="F21" s="167"/>
      <c r="G21" s="168"/>
      <c r="H21" s="169"/>
      <c r="I21" s="168"/>
      <c r="J21" s="169"/>
      <c r="K21" s="168"/>
      <c r="L21" s="169"/>
      <c r="M21" s="168"/>
      <c r="N21" s="169"/>
      <c r="O21" s="168"/>
      <c r="P21" s="169"/>
      <c r="Q21" s="168"/>
      <c r="R21" s="169"/>
      <c r="S21" s="168"/>
      <c r="T21" s="169"/>
      <c r="U21" s="168"/>
      <c r="V21" s="169"/>
      <c r="W21" s="168"/>
      <c r="X21" s="169"/>
      <c r="Y21" s="168"/>
      <c r="Z21" s="169"/>
      <c r="AA21" s="168"/>
      <c r="AB21" s="169"/>
      <c r="AC21" s="168"/>
      <c r="AD21" s="169"/>
      <c r="AE21" s="168"/>
    </row>
    <row r="22" spans="1:31" ht="15" thickBot="1">
      <c r="A22" s="167"/>
      <c r="B22" s="167"/>
      <c r="C22" s="167"/>
      <c r="D22" s="167"/>
      <c r="E22" s="167"/>
      <c r="F22" s="167" t="s">
        <v>173</v>
      </c>
      <c r="G22" s="170">
        <v>20651.509999999998</v>
      </c>
      <c r="H22" s="169"/>
      <c r="I22" s="170">
        <v>22243.26</v>
      </c>
      <c r="J22" s="169"/>
      <c r="K22" s="170">
        <v>77392.02</v>
      </c>
      <c r="L22" s="169"/>
      <c r="M22" s="170">
        <v>56070.81</v>
      </c>
      <c r="N22" s="169"/>
      <c r="O22" s="170">
        <v>71081</v>
      </c>
      <c r="P22" s="169"/>
      <c r="Q22" s="170">
        <v>59076.79</v>
      </c>
      <c r="R22" s="169"/>
      <c r="S22" s="170">
        <v>45414.54</v>
      </c>
      <c r="T22" s="169"/>
      <c r="U22" s="170">
        <v>77849.440000000002</v>
      </c>
      <c r="V22" s="169"/>
      <c r="W22" s="170">
        <v>58059.67</v>
      </c>
      <c r="X22" s="169"/>
      <c r="Y22" s="170">
        <v>44995.78</v>
      </c>
      <c r="Z22" s="169"/>
      <c r="AA22" s="170">
        <v>57613.99</v>
      </c>
      <c r="AB22" s="169"/>
      <c r="AC22" s="170">
        <v>37342.79</v>
      </c>
      <c r="AD22" s="169"/>
      <c r="AE22" s="170">
        <f>ROUND(SUM(G22:AC22),5)</f>
        <v>627791.6</v>
      </c>
    </row>
    <row r="23" spans="1:31">
      <c r="A23" s="167"/>
      <c r="B23" s="167"/>
      <c r="C23" s="167"/>
      <c r="D23" s="167"/>
      <c r="E23" s="167" t="s">
        <v>174</v>
      </c>
      <c r="F23" s="167"/>
      <c r="G23" s="168">
        <f>ROUND(SUM(G21:G22),5)</f>
        <v>20651.509999999998</v>
      </c>
      <c r="H23" s="169"/>
      <c r="I23" s="168">
        <f>ROUND(SUM(I21:I22),5)</f>
        <v>22243.26</v>
      </c>
      <c r="J23" s="169"/>
      <c r="K23" s="168">
        <f>ROUND(SUM(K21:K22),5)</f>
        <v>77392.02</v>
      </c>
      <c r="L23" s="169"/>
      <c r="M23" s="168">
        <f>ROUND(SUM(M21:M22),5)</f>
        <v>56070.81</v>
      </c>
      <c r="N23" s="169"/>
      <c r="O23" s="168">
        <f>ROUND(SUM(O21:O22),5)</f>
        <v>71081</v>
      </c>
      <c r="P23" s="169"/>
      <c r="Q23" s="168">
        <f>ROUND(SUM(Q21:Q22),5)</f>
        <v>59076.79</v>
      </c>
      <c r="R23" s="169"/>
      <c r="S23" s="168">
        <f>ROUND(SUM(S21:S22),5)</f>
        <v>45414.54</v>
      </c>
      <c r="T23" s="169"/>
      <c r="U23" s="168">
        <f>ROUND(SUM(U21:U22),5)</f>
        <v>77849.440000000002</v>
      </c>
      <c r="V23" s="169"/>
      <c r="W23" s="168">
        <f>ROUND(SUM(W21:W22),5)</f>
        <v>58059.67</v>
      </c>
      <c r="X23" s="169"/>
      <c r="Y23" s="168">
        <f>ROUND(SUM(Y21:Y22),5)</f>
        <v>44995.78</v>
      </c>
      <c r="Z23" s="169"/>
      <c r="AA23" s="168">
        <f>ROUND(SUM(AA21:AA22),5)</f>
        <v>57613.99</v>
      </c>
      <c r="AB23" s="169"/>
      <c r="AC23" s="168">
        <f>ROUND(SUM(AC21:AC22),5)</f>
        <v>37342.79</v>
      </c>
      <c r="AD23" s="169"/>
      <c r="AE23" s="168">
        <f>ROUND(SUM(G23:AC23),5)</f>
        <v>627791.6</v>
      </c>
    </row>
    <row r="24" spans="1:31" ht="15" thickBot="1">
      <c r="A24" s="167"/>
      <c r="B24" s="167"/>
      <c r="C24" s="167"/>
      <c r="D24" s="167"/>
      <c r="E24" s="167" t="s">
        <v>175</v>
      </c>
      <c r="F24" s="167"/>
      <c r="G24" s="168">
        <v>0</v>
      </c>
      <c r="H24" s="169"/>
      <c r="I24" s="168">
        <v>0</v>
      </c>
      <c r="J24" s="169"/>
      <c r="K24" s="168">
        <v>0</v>
      </c>
      <c r="L24" s="169"/>
      <c r="M24" s="168">
        <v>0</v>
      </c>
      <c r="N24" s="169"/>
      <c r="O24" s="168">
        <v>0</v>
      </c>
      <c r="P24" s="169"/>
      <c r="Q24" s="168">
        <v>0</v>
      </c>
      <c r="R24" s="169"/>
      <c r="S24" s="168">
        <v>0</v>
      </c>
      <c r="T24" s="169"/>
      <c r="U24" s="168">
        <v>3979</v>
      </c>
      <c r="V24" s="169"/>
      <c r="W24" s="168">
        <v>0</v>
      </c>
      <c r="X24" s="169"/>
      <c r="Y24" s="168">
        <v>0</v>
      </c>
      <c r="Z24" s="169"/>
      <c r="AA24" s="168">
        <v>0</v>
      </c>
      <c r="AB24" s="169"/>
      <c r="AC24" s="168">
        <v>0</v>
      </c>
      <c r="AD24" s="169"/>
      <c r="AE24" s="168">
        <f>ROUND(SUM(G24:AC24),5)</f>
        <v>3979</v>
      </c>
    </row>
    <row r="25" spans="1:31" ht="15" thickBot="1">
      <c r="A25" s="167"/>
      <c r="B25" s="167"/>
      <c r="C25" s="167"/>
      <c r="D25" s="167" t="s">
        <v>176</v>
      </c>
      <c r="E25" s="167"/>
      <c r="F25" s="167"/>
      <c r="G25" s="171">
        <f>ROUND(G3+SUM(G7:G8)+G13+G20+SUM(G23:G24),5)</f>
        <v>213831.76</v>
      </c>
      <c r="H25" s="169"/>
      <c r="I25" s="171">
        <f>ROUND(I3+SUM(I7:I8)+I13+I20+SUM(I23:I24),5)</f>
        <v>216034.58</v>
      </c>
      <c r="J25" s="169"/>
      <c r="K25" s="171">
        <f>ROUND(K3+SUM(K7:K8)+K13+K20+SUM(K23:K24),5)</f>
        <v>284640.81</v>
      </c>
      <c r="L25" s="169"/>
      <c r="M25" s="171">
        <f>ROUND(M3+SUM(M7:M8)+M13+M20+SUM(M23:M24),5)</f>
        <v>253425.84</v>
      </c>
      <c r="N25" s="169"/>
      <c r="O25" s="171">
        <f>ROUND(O3+SUM(O7:O8)+O13+O20+SUM(O23:O24),5)</f>
        <v>267422.36</v>
      </c>
      <c r="P25" s="169"/>
      <c r="Q25" s="171">
        <f>ROUND(Q3+SUM(Q7:Q8)+Q13+Q20+SUM(Q23:Q24),5)</f>
        <v>287246.59000000003</v>
      </c>
      <c r="R25" s="169"/>
      <c r="S25" s="171">
        <f>ROUND(S3+SUM(S7:S8)+S13+S20+SUM(S23:S24),5)</f>
        <v>237050.23</v>
      </c>
      <c r="T25" s="169"/>
      <c r="U25" s="171">
        <f>ROUND(U3+SUM(U7:U8)+U13+U20+SUM(U23:U24),5)</f>
        <v>270880.64000000001</v>
      </c>
      <c r="V25" s="169"/>
      <c r="W25" s="171">
        <f>ROUND(W3+SUM(W7:W8)+W13+W20+SUM(W23:W24),5)</f>
        <v>254599.53</v>
      </c>
      <c r="X25" s="169"/>
      <c r="Y25" s="171">
        <f>ROUND(Y3+SUM(Y7:Y8)+Y13+Y20+SUM(Y23:Y24),5)</f>
        <v>248369.94</v>
      </c>
      <c r="Z25" s="169"/>
      <c r="AA25" s="171">
        <f>ROUND(AA3+SUM(AA7:AA8)+AA13+AA20+SUM(AA23:AA24),5)</f>
        <v>271373.15000000002</v>
      </c>
      <c r="AB25" s="169"/>
      <c r="AC25" s="171">
        <f>ROUND(AC3+SUM(AC7:AC8)+AC13+AC20+SUM(AC23:AC24),5)</f>
        <v>267463.87</v>
      </c>
      <c r="AD25" s="169"/>
      <c r="AE25" s="171">
        <f>ROUND(SUM(G25:AC25),5)</f>
        <v>3072339.3</v>
      </c>
    </row>
    <row r="26" spans="1:31">
      <c r="A26" s="167"/>
      <c r="B26" s="167"/>
      <c r="C26" s="167" t="s">
        <v>177</v>
      </c>
      <c r="D26" s="167"/>
      <c r="E26" s="167"/>
      <c r="F26" s="167"/>
      <c r="G26" s="168">
        <f>G25</f>
        <v>213831.76</v>
      </c>
      <c r="H26" s="169"/>
      <c r="I26" s="168">
        <f>I25</f>
        <v>216034.58</v>
      </c>
      <c r="J26" s="169"/>
      <c r="K26" s="168">
        <f>K25</f>
        <v>284640.81</v>
      </c>
      <c r="L26" s="169"/>
      <c r="M26" s="168">
        <f>M25</f>
        <v>253425.84</v>
      </c>
      <c r="N26" s="169"/>
      <c r="O26" s="168">
        <f>O25</f>
        <v>267422.36</v>
      </c>
      <c r="P26" s="169"/>
      <c r="Q26" s="168">
        <f>Q25</f>
        <v>287246.59000000003</v>
      </c>
      <c r="R26" s="169"/>
      <c r="S26" s="168">
        <f>S25</f>
        <v>237050.23</v>
      </c>
      <c r="T26" s="169"/>
      <c r="U26" s="168">
        <f>U25</f>
        <v>270880.64000000001</v>
      </c>
      <c r="V26" s="169"/>
      <c r="W26" s="168">
        <f>W25</f>
        <v>254599.53</v>
      </c>
      <c r="X26" s="169"/>
      <c r="Y26" s="168">
        <f>Y25</f>
        <v>248369.94</v>
      </c>
      <c r="Z26" s="169"/>
      <c r="AA26" s="168">
        <f>AA25</f>
        <v>271373.15000000002</v>
      </c>
      <c r="AB26" s="169"/>
      <c r="AC26" s="168">
        <f>AC25</f>
        <v>267463.87</v>
      </c>
      <c r="AD26" s="169"/>
      <c r="AE26" s="168">
        <f>ROUND(SUM(G26:AC26),5)</f>
        <v>3072339.3</v>
      </c>
    </row>
    <row r="27" spans="1:31">
      <c r="A27" s="167"/>
      <c r="B27" s="167"/>
      <c r="C27" s="167"/>
      <c r="D27" s="167" t="s">
        <v>178</v>
      </c>
      <c r="E27" s="167"/>
      <c r="F27" s="167"/>
      <c r="G27" s="168"/>
      <c r="H27" s="169"/>
      <c r="I27" s="168"/>
      <c r="J27" s="169"/>
      <c r="K27" s="168"/>
      <c r="L27" s="169"/>
      <c r="M27" s="168"/>
      <c r="N27" s="169"/>
      <c r="O27" s="168"/>
      <c r="P27" s="169"/>
      <c r="Q27" s="168"/>
      <c r="R27" s="169"/>
      <c r="S27" s="168"/>
      <c r="T27" s="169"/>
      <c r="U27" s="168"/>
      <c r="V27" s="169"/>
      <c r="W27" s="168"/>
      <c r="X27" s="169"/>
      <c r="Y27" s="168"/>
      <c r="Z27" s="169"/>
      <c r="AA27" s="168"/>
      <c r="AB27" s="169"/>
      <c r="AC27" s="168"/>
      <c r="AD27" s="169"/>
      <c r="AE27" s="168"/>
    </row>
    <row r="28" spans="1:31">
      <c r="A28" s="167"/>
      <c r="B28" s="167"/>
      <c r="C28" s="167"/>
      <c r="D28" s="167"/>
      <c r="E28" s="167" t="s">
        <v>179</v>
      </c>
      <c r="F28" s="167"/>
      <c r="G28" s="168"/>
      <c r="H28" s="169"/>
      <c r="I28" s="168"/>
      <c r="J28" s="169"/>
      <c r="K28" s="168"/>
      <c r="L28" s="169"/>
      <c r="M28" s="168"/>
      <c r="N28" s="169"/>
      <c r="O28" s="168"/>
      <c r="P28" s="169"/>
      <c r="Q28" s="168"/>
      <c r="R28" s="169"/>
      <c r="S28" s="168"/>
      <c r="T28" s="169"/>
      <c r="U28" s="168"/>
      <c r="V28" s="169"/>
      <c r="W28" s="168"/>
      <c r="X28" s="169"/>
      <c r="Y28" s="168"/>
      <c r="Z28" s="169"/>
      <c r="AA28" s="168"/>
      <c r="AB28" s="169"/>
      <c r="AC28" s="168"/>
      <c r="AD28" s="169"/>
      <c r="AE28" s="168"/>
    </row>
    <row r="29" spans="1:31">
      <c r="A29" s="167"/>
      <c r="B29" s="167"/>
      <c r="C29" s="167"/>
      <c r="D29" s="167"/>
      <c r="E29" s="167"/>
      <c r="F29" s="167" t="s">
        <v>180</v>
      </c>
      <c r="G29" s="168">
        <v>20237.78</v>
      </c>
      <c r="H29" s="169"/>
      <c r="I29" s="168">
        <v>18117.73</v>
      </c>
      <c r="J29" s="169"/>
      <c r="K29" s="168">
        <v>17928.98</v>
      </c>
      <c r="L29" s="169"/>
      <c r="M29" s="168">
        <v>19928.98</v>
      </c>
      <c r="N29" s="169"/>
      <c r="O29" s="168">
        <v>19928.98</v>
      </c>
      <c r="P29" s="169"/>
      <c r="Q29" s="168">
        <v>19928.98</v>
      </c>
      <c r="R29" s="169"/>
      <c r="S29" s="168">
        <v>19928.98</v>
      </c>
      <c r="T29" s="169"/>
      <c r="U29" s="168">
        <v>21040.12</v>
      </c>
      <c r="V29" s="169"/>
      <c r="W29" s="168">
        <v>23262.32</v>
      </c>
      <c r="X29" s="169"/>
      <c r="Y29" s="168">
        <v>23262.32</v>
      </c>
      <c r="Z29" s="169"/>
      <c r="AA29" s="168">
        <v>23262.32</v>
      </c>
      <c r="AB29" s="169"/>
      <c r="AC29" s="168">
        <v>23262.32</v>
      </c>
      <c r="AD29" s="169"/>
      <c r="AE29" s="168">
        <f t="shared" ref="AE29:AE39" si="1">ROUND(SUM(G29:AC29),5)</f>
        <v>250089.81</v>
      </c>
    </row>
    <row r="30" spans="1:31">
      <c r="A30" s="167"/>
      <c r="B30" s="167"/>
      <c r="C30" s="167"/>
      <c r="D30" s="167"/>
      <c r="E30" s="167"/>
      <c r="F30" s="167" t="s">
        <v>181</v>
      </c>
      <c r="G30" s="168">
        <v>8240</v>
      </c>
      <c r="H30" s="169"/>
      <c r="I30" s="168">
        <v>8525.83</v>
      </c>
      <c r="J30" s="169"/>
      <c r="K30" s="168">
        <v>8525.82</v>
      </c>
      <c r="L30" s="169"/>
      <c r="M30" s="168">
        <v>8525.82</v>
      </c>
      <c r="N30" s="169"/>
      <c r="O30" s="168">
        <v>8525.82</v>
      </c>
      <c r="P30" s="169"/>
      <c r="Q30" s="168">
        <v>8525.82</v>
      </c>
      <c r="R30" s="169"/>
      <c r="S30" s="168">
        <v>8525.82</v>
      </c>
      <c r="T30" s="169"/>
      <c r="U30" s="168">
        <v>8525.82</v>
      </c>
      <c r="V30" s="169"/>
      <c r="W30" s="168">
        <v>8525.82</v>
      </c>
      <c r="X30" s="169"/>
      <c r="Y30" s="168">
        <v>8525.82</v>
      </c>
      <c r="Z30" s="169"/>
      <c r="AA30" s="168">
        <v>8525.82</v>
      </c>
      <c r="AB30" s="169"/>
      <c r="AC30" s="168">
        <v>8525.82</v>
      </c>
      <c r="AD30" s="169"/>
      <c r="AE30" s="168">
        <f t="shared" si="1"/>
        <v>102024.03</v>
      </c>
    </row>
    <row r="31" spans="1:31">
      <c r="A31" s="167"/>
      <c r="B31" s="167"/>
      <c r="C31" s="167"/>
      <c r="D31" s="167"/>
      <c r="E31" s="167"/>
      <c r="F31" s="167" t="s">
        <v>182</v>
      </c>
      <c r="G31" s="168">
        <v>4202.3999999999996</v>
      </c>
      <c r="H31" s="169"/>
      <c r="I31" s="168">
        <v>2101.1999999999998</v>
      </c>
      <c r="J31" s="169"/>
      <c r="K31" s="168">
        <v>0</v>
      </c>
      <c r="L31" s="169"/>
      <c r="M31" s="168">
        <v>0</v>
      </c>
      <c r="N31" s="169"/>
      <c r="O31" s="168">
        <v>0</v>
      </c>
      <c r="P31" s="169"/>
      <c r="Q31" s="168">
        <v>0</v>
      </c>
      <c r="R31" s="169"/>
      <c r="S31" s="168">
        <v>0</v>
      </c>
      <c r="T31" s="169"/>
      <c r="U31" s="168">
        <v>0</v>
      </c>
      <c r="V31" s="169"/>
      <c r="W31" s="168">
        <v>0</v>
      </c>
      <c r="X31" s="169"/>
      <c r="Y31" s="168">
        <v>0</v>
      </c>
      <c r="Z31" s="169"/>
      <c r="AA31" s="168">
        <v>0</v>
      </c>
      <c r="AB31" s="169"/>
      <c r="AC31" s="168">
        <v>0</v>
      </c>
      <c r="AD31" s="169"/>
      <c r="AE31" s="168">
        <f t="shared" si="1"/>
        <v>6303.6</v>
      </c>
    </row>
    <row r="32" spans="1:31">
      <c r="A32" s="167"/>
      <c r="B32" s="167"/>
      <c r="C32" s="167"/>
      <c r="D32" s="167"/>
      <c r="E32" s="167"/>
      <c r="F32" s="167" t="s">
        <v>280</v>
      </c>
      <c r="G32" s="168">
        <v>5100</v>
      </c>
      <c r="H32" s="169"/>
      <c r="I32" s="168">
        <v>0</v>
      </c>
      <c r="J32" s="169"/>
      <c r="K32" s="168">
        <v>0</v>
      </c>
      <c r="L32" s="169"/>
      <c r="M32" s="168">
        <v>0</v>
      </c>
      <c r="N32" s="169"/>
      <c r="O32" s="168">
        <v>0</v>
      </c>
      <c r="P32" s="169"/>
      <c r="Q32" s="168">
        <v>0</v>
      </c>
      <c r="R32" s="169"/>
      <c r="S32" s="168">
        <v>0</v>
      </c>
      <c r="T32" s="169"/>
      <c r="U32" s="168">
        <v>0</v>
      </c>
      <c r="V32" s="169"/>
      <c r="W32" s="168">
        <v>0</v>
      </c>
      <c r="X32" s="169"/>
      <c r="Y32" s="168">
        <v>0</v>
      </c>
      <c r="Z32" s="169"/>
      <c r="AA32" s="168">
        <v>0</v>
      </c>
      <c r="AB32" s="169"/>
      <c r="AC32" s="168">
        <v>0</v>
      </c>
      <c r="AD32" s="169"/>
      <c r="AE32" s="168">
        <f t="shared" si="1"/>
        <v>5100</v>
      </c>
    </row>
    <row r="33" spans="1:31">
      <c r="A33" s="167"/>
      <c r="B33" s="167"/>
      <c r="C33" s="167"/>
      <c r="D33" s="167"/>
      <c r="E33" s="167"/>
      <c r="F33" s="167" t="s">
        <v>183</v>
      </c>
      <c r="G33" s="168">
        <v>2856.53</v>
      </c>
      <c r="H33" s="169"/>
      <c r="I33" s="168">
        <v>2856.54</v>
      </c>
      <c r="J33" s="169"/>
      <c r="K33" s="168">
        <v>2928.27</v>
      </c>
      <c r="L33" s="169"/>
      <c r="M33" s="168">
        <v>3000</v>
      </c>
      <c r="N33" s="169"/>
      <c r="O33" s="168">
        <v>3000</v>
      </c>
      <c r="P33" s="169"/>
      <c r="Q33" s="168">
        <v>3000</v>
      </c>
      <c r="R33" s="169"/>
      <c r="S33" s="168">
        <v>3000</v>
      </c>
      <c r="T33" s="169"/>
      <c r="U33" s="168">
        <v>3000</v>
      </c>
      <c r="V33" s="169"/>
      <c r="W33" s="168">
        <v>3000</v>
      </c>
      <c r="X33" s="169"/>
      <c r="Y33" s="168">
        <v>3000</v>
      </c>
      <c r="Z33" s="169"/>
      <c r="AA33" s="168">
        <v>3000</v>
      </c>
      <c r="AB33" s="169"/>
      <c r="AC33" s="168">
        <v>3000</v>
      </c>
      <c r="AD33" s="169"/>
      <c r="AE33" s="168">
        <f t="shared" si="1"/>
        <v>35641.339999999997</v>
      </c>
    </row>
    <row r="34" spans="1:31">
      <c r="A34" s="167"/>
      <c r="B34" s="167"/>
      <c r="C34" s="167"/>
      <c r="D34" s="167"/>
      <c r="E34" s="167"/>
      <c r="F34" s="167" t="s">
        <v>184</v>
      </c>
      <c r="G34" s="168">
        <v>0</v>
      </c>
      <c r="H34" s="169"/>
      <c r="I34" s="168">
        <v>0</v>
      </c>
      <c r="J34" s="169"/>
      <c r="K34" s="168">
        <v>0</v>
      </c>
      <c r="L34" s="169"/>
      <c r="M34" s="168">
        <v>22750</v>
      </c>
      <c r="N34" s="169"/>
      <c r="O34" s="168">
        <v>-6500</v>
      </c>
      <c r="P34" s="169"/>
      <c r="Q34" s="168">
        <v>0</v>
      </c>
      <c r="R34" s="169"/>
      <c r="S34" s="168">
        <v>0</v>
      </c>
      <c r="T34" s="169"/>
      <c r="U34" s="168">
        <v>15000</v>
      </c>
      <c r="V34" s="169"/>
      <c r="W34" s="168">
        <v>0</v>
      </c>
      <c r="X34" s="169"/>
      <c r="Y34" s="168">
        <v>0</v>
      </c>
      <c r="Z34" s="169"/>
      <c r="AA34" s="168">
        <v>0</v>
      </c>
      <c r="AB34" s="169"/>
      <c r="AC34" s="168">
        <v>5000</v>
      </c>
      <c r="AD34" s="169"/>
      <c r="AE34" s="168">
        <f t="shared" si="1"/>
        <v>36250</v>
      </c>
    </row>
    <row r="35" spans="1:31">
      <c r="A35" s="167"/>
      <c r="B35" s="167"/>
      <c r="C35" s="167"/>
      <c r="D35" s="167"/>
      <c r="E35" s="167"/>
      <c r="F35" s="167" t="s">
        <v>185</v>
      </c>
      <c r="G35" s="168">
        <v>20231.41</v>
      </c>
      <c r="H35" s="169"/>
      <c r="I35" s="168">
        <v>19026.22</v>
      </c>
      <c r="J35" s="169"/>
      <c r="K35" s="168">
        <v>22701.85</v>
      </c>
      <c r="L35" s="169"/>
      <c r="M35" s="168">
        <v>24846.28</v>
      </c>
      <c r="N35" s="169"/>
      <c r="O35" s="168">
        <v>33831.120000000003</v>
      </c>
      <c r="P35" s="169"/>
      <c r="Q35" s="168">
        <v>27331.119999999999</v>
      </c>
      <c r="R35" s="169"/>
      <c r="S35" s="168">
        <v>27331.119999999999</v>
      </c>
      <c r="T35" s="169"/>
      <c r="U35" s="168">
        <v>27914.44</v>
      </c>
      <c r="V35" s="169"/>
      <c r="W35" s="168">
        <v>27914.44</v>
      </c>
      <c r="X35" s="169"/>
      <c r="Y35" s="168">
        <v>27914.44</v>
      </c>
      <c r="Z35" s="169"/>
      <c r="AA35" s="168">
        <v>27914.44</v>
      </c>
      <c r="AB35" s="169"/>
      <c r="AC35" s="168">
        <v>30759.14</v>
      </c>
      <c r="AD35" s="169"/>
      <c r="AE35" s="168">
        <f t="shared" si="1"/>
        <v>317716.02</v>
      </c>
    </row>
    <row r="36" spans="1:31">
      <c r="A36" s="167"/>
      <c r="B36" s="167"/>
      <c r="C36" s="167"/>
      <c r="D36" s="167"/>
      <c r="E36" s="167"/>
      <c r="F36" s="167" t="s">
        <v>265</v>
      </c>
      <c r="G36" s="168">
        <v>8756.7199999999993</v>
      </c>
      <c r="H36" s="169"/>
      <c r="I36" s="168">
        <v>4666.67</v>
      </c>
      <c r="J36" s="169"/>
      <c r="K36" s="168">
        <v>4666.66</v>
      </c>
      <c r="L36" s="169"/>
      <c r="M36" s="168">
        <v>4666.66</v>
      </c>
      <c r="N36" s="169"/>
      <c r="O36" s="168">
        <v>4666.66</v>
      </c>
      <c r="P36" s="169"/>
      <c r="Q36" s="168">
        <v>4666.66</v>
      </c>
      <c r="R36" s="169"/>
      <c r="S36" s="168">
        <v>4666.66</v>
      </c>
      <c r="T36" s="169"/>
      <c r="U36" s="168">
        <v>4666.66</v>
      </c>
      <c r="V36" s="169"/>
      <c r="W36" s="168">
        <v>4666.66</v>
      </c>
      <c r="X36" s="169"/>
      <c r="Y36" s="168">
        <v>4666.66</v>
      </c>
      <c r="Z36" s="169"/>
      <c r="AA36" s="168">
        <v>4666.66</v>
      </c>
      <c r="AB36" s="169"/>
      <c r="AC36" s="168">
        <v>4666.66</v>
      </c>
      <c r="AD36" s="169"/>
      <c r="AE36" s="168">
        <f t="shared" si="1"/>
        <v>60089.99</v>
      </c>
    </row>
    <row r="37" spans="1:31">
      <c r="A37" s="167"/>
      <c r="B37" s="167"/>
      <c r="C37" s="167"/>
      <c r="D37" s="167"/>
      <c r="E37" s="167"/>
      <c r="F37" s="167" t="s">
        <v>187</v>
      </c>
      <c r="G37" s="168">
        <v>3090</v>
      </c>
      <c r="H37" s="169"/>
      <c r="I37" s="168">
        <v>3090</v>
      </c>
      <c r="J37" s="169"/>
      <c r="K37" s="168">
        <v>3090</v>
      </c>
      <c r="L37" s="169"/>
      <c r="M37" s="168">
        <v>3090</v>
      </c>
      <c r="N37" s="169"/>
      <c r="O37" s="168">
        <v>3090</v>
      </c>
      <c r="P37" s="169"/>
      <c r="Q37" s="168">
        <v>3090</v>
      </c>
      <c r="R37" s="169"/>
      <c r="S37" s="168">
        <v>3090</v>
      </c>
      <c r="T37" s="169"/>
      <c r="U37" s="168">
        <v>3090</v>
      </c>
      <c r="V37" s="169"/>
      <c r="W37" s="168">
        <v>3090</v>
      </c>
      <c r="X37" s="169"/>
      <c r="Y37" s="168">
        <v>3090</v>
      </c>
      <c r="Z37" s="169"/>
      <c r="AA37" s="168">
        <v>3090</v>
      </c>
      <c r="AB37" s="169"/>
      <c r="AC37" s="168">
        <v>3090</v>
      </c>
      <c r="AD37" s="169"/>
      <c r="AE37" s="168">
        <f t="shared" si="1"/>
        <v>37080</v>
      </c>
    </row>
    <row r="38" spans="1:31" ht="15" thickBot="1">
      <c r="A38" s="167"/>
      <c r="B38" s="167"/>
      <c r="C38" s="167"/>
      <c r="D38" s="167"/>
      <c r="E38" s="167"/>
      <c r="F38" s="167" t="s">
        <v>188</v>
      </c>
      <c r="G38" s="170">
        <v>11781.49</v>
      </c>
      <c r="H38" s="169"/>
      <c r="I38" s="170">
        <v>12099</v>
      </c>
      <c r="J38" s="169"/>
      <c r="K38" s="170">
        <v>12099</v>
      </c>
      <c r="L38" s="169"/>
      <c r="M38" s="170">
        <v>12099</v>
      </c>
      <c r="N38" s="169"/>
      <c r="O38" s="170">
        <v>10093.31</v>
      </c>
      <c r="P38" s="169"/>
      <c r="Q38" s="170">
        <v>6583.34</v>
      </c>
      <c r="R38" s="169"/>
      <c r="S38" s="170">
        <v>6583.34</v>
      </c>
      <c r="T38" s="169"/>
      <c r="U38" s="170">
        <v>6583.34</v>
      </c>
      <c r="V38" s="169"/>
      <c r="W38" s="170">
        <v>6583.34</v>
      </c>
      <c r="X38" s="169"/>
      <c r="Y38" s="170">
        <v>6583.34</v>
      </c>
      <c r="Z38" s="169"/>
      <c r="AA38" s="170">
        <v>6583.34</v>
      </c>
      <c r="AB38" s="169"/>
      <c r="AC38" s="170">
        <v>6583.34</v>
      </c>
      <c r="AD38" s="169"/>
      <c r="AE38" s="170">
        <f t="shared" si="1"/>
        <v>104255.18</v>
      </c>
    </row>
    <row r="39" spans="1:31">
      <c r="A39" s="167"/>
      <c r="B39" s="167"/>
      <c r="C39" s="167"/>
      <c r="D39" s="167"/>
      <c r="E39" s="167" t="s">
        <v>189</v>
      </c>
      <c r="F39" s="167"/>
      <c r="G39" s="168">
        <f>ROUND(SUM(G28:G38),5)</f>
        <v>84496.33</v>
      </c>
      <c r="H39" s="169"/>
      <c r="I39" s="168">
        <f>ROUND(SUM(I28:I38),5)</f>
        <v>70483.19</v>
      </c>
      <c r="J39" s="169"/>
      <c r="K39" s="168">
        <f>ROUND(SUM(K28:K38),5)</f>
        <v>71940.58</v>
      </c>
      <c r="L39" s="169"/>
      <c r="M39" s="168">
        <f>ROUND(SUM(M28:M38),5)</f>
        <v>98906.74</v>
      </c>
      <c r="N39" s="169"/>
      <c r="O39" s="168">
        <f>ROUND(SUM(O28:O38),5)</f>
        <v>76635.89</v>
      </c>
      <c r="P39" s="169"/>
      <c r="Q39" s="168">
        <f>ROUND(SUM(Q28:Q38),5)</f>
        <v>73125.919999999998</v>
      </c>
      <c r="R39" s="169"/>
      <c r="S39" s="168">
        <f>ROUND(SUM(S28:S38),5)</f>
        <v>73125.919999999998</v>
      </c>
      <c r="T39" s="169"/>
      <c r="U39" s="168">
        <f>ROUND(SUM(U28:U38),5)</f>
        <v>89820.38</v>
      </c>
      <c r="V39" s="169"/>
      <c r="W39" s="168">
        <f>ROUND(SUM(W28:W38),5)</f>
        <v>77042.58</v>
      </c>
      <c r="X39" s="169"/>
      <c r="Y39" s="168">
        <f>ROUND(SUM(Y28:Y38),5)</f>
        <v>77042.58</v>
      </c>
      <c r="Z39" s="169"/>
      <c r="AA39" s="168">
        <f>ROUND(SUM(AA28:AA38),5)</f>
        <v>77042.58</v>
      </c>
      <c r="AB39" s="169"/>
      <c r="AC39" s="168">
        <f>ROUND(SUM(AC28:AC38),5)</f>
        <v>84887.28</v>
      </c>
      <c r="AD39" s="169"/>
      <c r="AE39" s="168">
        <f t="shared" si="1"/>
        <v>954549.97</v>
      </c>
    </row>
    <row r="40" spans="1:31">
      <c r="A40" s="167"/>
      <c r="B40" s="167"/>
      <c r="C40" s="167"/>
      <c r="D40" s="167"/>
      <c r="E40" s="167" t="s">
        <v>190</v>
      </c>
      <c r="F40" s="167"/>
      <c r="G40" s="168"/>
      <c r="H40" s="169"/>
      <c r="I40" s="168"/>
      <c r="J40" s="169"/>
      <c r="K40" s="168"/>
      <c r="L40" s="169"/>
      <c r="M40" s="168"/>
      <c r="N40" s="169"/>
      <c r="O40" s="168"/>
      <c r="P40" s="169"/>
      <c r="Q40" s="168"/>
      <c r="R40" s="169"/>
      <c r="S40" s="168"/>
      <c r="T40" s="169"/>
      <c r="U40" s="168"/>
      <c r="V40" s="169"/>
      <c r="W40" s="168"/>
      <c r="X40" s="169"/>
      <c r="Y40" s="168"/>
      <c r="Z40" s="169"/>
      <c r="AA40" s="168"/>
      <c r="AB40" s="169"/>
      <c r="AC40" s="168"/>
      <c r="AD40" s="169"/>
      <c r="AE40" s="168"/>
    </row>
    <row r="41" spans="1:31">
      <c r="A41" s="167"/>
      <c r="B41" s="167"/>
      <c r="C41" s="167"/>
      <c r="D41" s="167"/>
      <c r="E41" s="167"/>
      <c r="F41" s="167" t="s">
        <v>191</v>
      </c>
      <c r="G41" s="168">
        <v>7929.68</v>
      </c>
      <c r="H41" s="169"/>
      <c r="I41" s="168">
        <v>7739.58</v>
      </c>
      <c r="J41" s="169"/>
      <c r="K41" s="168">
        <v>6449.16</v>
      </c>
      <c r="L41" s="169"/>
      <c r="M41" s="168">
        <v>6739.2</v>
      </c>
      <c r="N41" s="169"/>
      <c r="O41" s="168">
        <v>6458.4</v>
      </c>
      <c r="P41" s="169"/>
      <c r="Q41" s="168">
        <v>5967</v>
      </c>
      <c r="R41" s="169"/>
      <c r="S41" s="168">
        <v>5967</v>
      </c>
      <c r="T41" s="169"/>
      <c r="U41" s="168">
        <v>6204.24</v>
      </c>
      <c r="V41" s="169"/>
      <c r="W41" s="168">
        <v>6515.34</v>
      </c>
      <c r="X41" s="169"/>
      <c r="Y41" s="168">
        <v>6515.34</v>
      </c>
      <c r="Z41" s="169"/>
      <c r="AA41" s="168">
        <v>6515.34</v>
      </c>
      <c r="AB41" s="169"/>
      <c r="AC41" s="168">
        <v>6935.34</v>
      </c>
      <c r="AD41" s="169"/>
      <c r="AE41" s="168">
        <f t="shared" ref="AE41:AE47" si="2">ROUND(SUM(G41:AC41),5)</f>
        <v>79935.62</v>
      </c>
    </row>
    <row r="42" spans="1:31">
      <c r="A42" s="167"/>
      <c r="B42" s="167"/>
      <c r="C42" s="167"/>
      <c r="D42" s="167"/>
      <c r="E42" s="167"/>
      <c r="F42" s="167" t="s">
        <v>192</v>
      </c>
      <c r="G42" s="168">
        <v>1597.69</v>
      </c>
      <c r="H42" s="169"/>
      <c r="I42" s="168">
        <v>3647.11</v>
      </c>
      <c r="J42" s="169"/>
      <c r="K42" s="168">
        <v>10605.75</v>
      </c>
      <c r="L42" s="169"/>
      <c r="M42" s="168">
        <v>3922.75</v>
      </c>
      <c r="N42" s="169"/>
      <c r="O42" s="168">
        <v>4270.6400000000003</v>
      </c>
      <c r="P42" s="169"/>
      <c r="Q42" s="168">
        <v>4270.6400000000003</v>
      </c>
      <c r="R42" s="169"/>
      <c r="S42" s="168">
        <v>4270.6400000000003</v>
      </c>
      <c r="T42" s="169"/>
      <c r="U42" s="168">
        <v>4270.6400000000003</v>
      </c>
      <c r="V42" s="169"/>
      <c r="W42" s="168">
        <v>4270.6400000000003</v>
      </c>
      <c r="X42" s="169"/>
      <c r="Y42" s="168">
        <v>4270.6400000000003</v>
      </c>
      <c r="Z42" s="169"/>
      <c r="AA42" s="168">
        <v>4270.6400000000003</v>
      </c>
      <c r="AB42" s="169"/>
      <c r="AC42" s="168">
        <v>-57.38</v>
      </c>
      <c r="AD42" s="169"/>
      <c r="AE42" s="168">
        <f t="shared" si="2"/>
        <v>49610.400000000001</v>
      </c>
    </row>
    <row r="43" spans="1:31">
      <c r="A43" s="167"/>
      <c r="B43" s="167"/>
      <c r="C43" s="167"/>
      <c r="D43" s="167"/>
      <c r="E43" s="167"/>
      <c r="F43" s="167" t="s">
        <v>193</v>
      </c>
      <c r="G43" s="168">
        <v>11613.91</v>
      </c>
      <c r="H43" s="169"/>
      <c r="I43" s="168">
        <v>-1546.3</v>
      </c>
      <c r="J43" s="169"/>
      <c r="K43" s="168">
        <v>9950</v>
      </c>
      <c r="L43" s="169"/>
      <c r="M43" s="168">
        <v>15080.51</v>
      </c>
      <c r="N43" s="169"/>
      <c r="O43" s="168">
        <v>12490.26</v>
      </c>
      <c r="P43" s="169"/>
      <c r="Q43" s="168">
        <v>14040.98</v>
      </c>
      <c r="R43" s="169"/>
      <c r="S43" s="168">
        <v>13285.62</v>
      </c>
      <c r="T43" s="169"/>
      <c r="U43" s="168">
        <v>13291.87</v>
      </c>
      <c r="V43" s="169"/>
      <c r="W43" s="168">
        <v>13279.37</v>
      </c>
      <c r="X43" s="169"/>
      <c r="Y43" s="168">
        <v>4334.54</v>
      </c>
      <c r="Z43" s="169"/>
      <c r="AA43" s="168">
        <v>13139.23</v>
      </c>
      <c r="AB43" s="169"/>
      <c r="AC43" s="168">
        <v>9799.67</v>
      </c>
      <c r="AD43" s="169"/>
      <c r="AE43" s="168">
        <f t="shared" si="2"/>
        <v>128759.66</v>
      </c>
    </row>
    <row r="44" spans="1:31">
      <c r="A44" s="167"/>
      <c r="B44" s="167"/>
      <c r="C44" s="167"/>
      <c r="D44" s="167"/>
      <c r="E44" s="167"/>
      <c r="F44" s="167" t="s">
        <v>194</v>
      </c>
      <c r="G44" s="168">
        <v>0</v>
      </c>
      <c r="H44" s="169"/>
      <c r="I44" s="168">
        <v>0</v>
      </c>
      <c r="J44" s="169"/>
      <c r="K44" s="168">
        <v>0</v>
      </c>
      <c r="L44" s="169"/>
      <c r="M44" s="168">
        <v>0</v>
      </c>
      <c r="N44" s="169"/>
      <c r="O44" s="168">
        <v>0</v>
      </c>
      <c r="P44" s="169"/>
      <c r="Q44" s="168">
        <v>0</v>
      </c>
      <c r="R44" s="169"/>
      <c r="S44" s="168">
        <v>0</v>
      </c>
      <c r="T44" s="169"/>
      <c r="U44" s="168">
        <v>0</v>
      </c>
      <c r="V44" s="169"/>
      <c r="W44" s="168">
        <v>0</v>
      </c>
      <c r="X44" s="169"/>
      <c r="Y44" s="168">
        <v>0</v>
      </c>
      <c r="Z44" s="169"/>
      <c r="AA44" s="168">
        <v>0</v>
      </c>
      <c r="AB44" s="169"/>
      <c r="AC44" s="168">
        <v>0</v>
      </c>
      <c r="AD44" s="169"/>
      <c r="AE44" s="168">
        <f t="shared" si="2"/>
        <v>0</v>
      </c>
    </row>
    <row r="45" spans="1:31">
      <c r="A45" s="167"/>
      <c r="B45" s="167"/>
      <c r="C45" s="167"/>
      <c r="D45" s="167"/>
      <c r="E45" s="167"/>
      <c r="F45" s="167" t="s">
        <v>195</v>
      </c>
      <c r="G45" s="168">
        <v>756.53</v>
      </c>
      <c r="H45" s="169"/>
      <c r="I45" s="168">
        <v>756.53</v>
      </c>
      <c r="J45" s="169"/>
      <c r="K45" s="168">
        <v>756.53</v>
      </c>
      <c r="L45" s="169"/>
      <c r="M45" s="168">
        <v>1515.3</v>
      </c>
      <c r="N45" s="169"/>
      <c r="O45" s="168">
        <v>0</v>
      </c>
      <c r="P45" s="169"/>
      <c r="Q45" s="168">
        <v>650.41</v>
      </c>
      <c r="R45" s="169"/>
      <c r="S45" s="168">
        <v>650.41</v>
      </c>
      <c r="T45" s="169"/>
      <c r="U45" s="168">
        <v>299.70999999999998</v>
      </c>
      <c r="V45" s="169"/>
      <c r="W45" s="168">
        <v>207.71</v>
      </c>
      <c r="X45" s="169"/>
      <c r="Y45" s="168">
        <v>299.70999999999998</v>
      </c>
      <c r="Z45" s="169"/>
      <c r="AA45" s="168">
        <v>599.41999999999996</v>
      </c>
      <c r="AB45" s="169"/>
      <c r="AC45" s="168">
        <v>299.70999999999998</v>
      </c>
      <c r="AD45" s="169"/>
      <c r="AE45" s="168">
        <f t="shared" si="2"/>
        <v>6791.97</v>
      </c>
    </row>
    <row r="46" spans="1:31" ht="15" thickBot="1">
      <c r="A46" s="167"/>
      <c r="B46" s="167"/>
      <c r="C46" s="167"/>
      <c r="D46" s="167"/>
      <c r="E46" s="167"/>
      <c r="F46" s="167" t="s">
        <v>196</v>
      </c>
      <c r="G46" s="170">
        <v>49.5</v>
      </c>
      <c r="H46" s="169"/>
      <c r="I46" s="170">
        <v>99</v>
      </c>
      <c r="J46" s="169"/>
      <c r="K46" s="170">
        <v>148.5</v>
      </c>
      <c r="L46" s="169"/>
      <c r="M46" s="170">
        <v>133.16</v>
      </c>
      <c r="N46" s="169"/>
      <c r="O46" s="170">
        <v>173.25</v>
      </c>
      <c r="P46" s="169"/>
      <c r="Q46" s="170">
        <v>92.25</v>
      </c>
      <c r="R46" s="169"/>
      <c r="S46" s="170">
        <v>1930.78</v>
      </c>
      <c r="T46" s="169"/>
      <c r="U46" s="170">
        <v>2112.4699999999998</v>
      </c>
      <c r="V46" s="169"/>
      <c r="W46" s="170">
        <v>441.42</v>
      </c>
      <c r="X46" s="169"/>
      <c r="Y46" s="170">
        <v>96.22</v>
      </c>
      <c r="Z46" s="169"/>
      <c r="AA46" s="170">
        <v>36.11</v>
      </c>
      <c r="AB46" s="169"/>
      <c r="AC46" s="170">
        <v>0</v>
      </c>
      <c r="AD46" s="169"/>
      <c r="AE46" s="170">
        <f t="shared" si="2"/>
        <v>5312.66</v>
      </c>
    </row>
    <row r="47" spans="1:31">
      <c r="A47" s="167"/>
      <c r="B47" s="167"/>
      <c r="C47" s="167"/>
      <c r="D47" s="167"/>
      <c r="E47" s="167" t="s">
        <v>197</v>
      </c>
      <c r="F47" s="167"/>
      <c r="G47" s="168">
        <f>ROUND(SUM(G40:G46),5)</f>
        <v>21947.31</v>
      </c>
      <c r="H47" s="169"/>
      <c r="I47" s="168">
        <f>ROUND(SUM(I40:I46),5)</f>
        <v>10695.92</v>
      </c>
      <c r="J47" s="169"/>
      <c r="K47" s="168">
        <f>ROUND(SUM(K40:K46),5)</f>
        <v>27909.94</v>
      </c>
      <c r="L47" s="169"/>
      <c r="M47" s="168">
        <f>ROUND(SUM(M40:M46),5)</f>
        <v>27390.92</v>
      </c>
      <c r="N47" s="169"/>
      <c r="O47" s="168">
        <f>ROUND(SUM(O40:O46),5)</f>
        <v>23392.55</v>
      </c>
      <c r="P47" s="169"/>
      <c r="Q47" s="168">
        <f>ROUND(SUM(Q40:Q46),5)</f>
        <v>25021.279999999999</v>
      </c>
      <c r="R47" s="169"/>
      <c r="S47" s="168">
        <f>ROUND(SUM(S40:S46),5)</f>
        <v>26104.45</v>
      </c>
      <c r="T47" s="169"/>
      <c r="U47" s="168">
        <f>ROUND(SUM(U40:U46),5)</f>
        <v>26178.93</v>
      </c>
      <c r="V47" s="169"/>
      <c r="W47" s="168">
        <f>ROUND(SUM(W40:W46),5)</f>
        <v>24714.48</v>
      </c>
      <c r="X47" s="169"/>
      <c r="Y47" s="168">
        <f>ROUND(SUM(Y40:Y46),5)</f>
        <v>15516.45</v>
      </c>
      <c r="Z47" s="169"/>
      <c r="AA47" s="168">
        <f>ROUND(SUM(AA40:AA46),5)</f>
        <v>24560.74</v>
      </c>
      <c r="AB47" s="169"/>
      <c r="AC47" s="168">
        <f>ROUND(SUM(AC40:AC46),5)</f>
        <v>16977.34</v>
      </c>
      <c r="AD47" s="169"/>
      <c r="AE47" s="168">
        <f t="shared" si="2"/>
        <v>270410.31</v>
      </c>
    </row>
    <row r="48" spans="1:31">
      <c r="A48" s="167"/>
      <c r="B48" s="167"/>
      <c r="C48" s="167"/>
      <c r="D48" s="167"/>
      <c r="E48" s="167" t="s">
        <v>198</v>
      </c>
      <c r="F48" s="167"/>
      <c r="G48" s="168"/>
      <c r="H48" s="169"/>
      <c r="I48" s="168"/>
      <c r="J48" s="169"/>
      <c r="K48" s="168"/>
      <c r="L48" s="169"/>
      <c r="M48" s="168"/>
      <c r="N48" s="169"/>
      <c r="O48" s="168"/>
      <c r="P48" s="169"/>
      <c r="Q48" s="168"/>
      <c r="R48" s="169"/>
      <c r="S48" s="168"/>
      <c r="T48" s="169"/>
      <c r="U48" s="168"/>
      <c r="V48" s="169"/>
      <c r="W48" s="168"/>
      <c r="X48" s="169"/>
      <c r="Y48" s="168"/>
      <c r="Z48" s="169"/>
      <c r="AA48" s="168"/>
      <c r="AB48" s="169"/>
      <c r="AC48" s="168"/>
      <c r="AD48" s="169"/>
      <c r="AE48" s="168"/>
    </row>
    <row r="49" spans="1:32">
      <c r="A49" s="167"/>
      <c r="B49" s="167"/>
      <c r="C49" s="167"/>
      <c r="D49" s="167"/>
      <c r="E49" s="167"/>
      <c r="F49" s="167" t="s">
        <v>199</v>
      </c>
      <c r="G49" s="168">
        <v>0</v>
      </c>
      <c r="H49" s="169"/>
      <c r="I49" s="168">
        <v>0</v>
      </c>
      <c r="J49" s="169"/>
      <c r="K49" s="168">
        <v>0</v>
      </c>
      <c r="L49" s="169"/>
      <c r="M49" s="168">
        <v>0</v>
      </c>
      <c r="N49" s="169"/>
      <c r="O49" s="168">
        <v>0</v>
      </c>
      <c r="P49" s="169"/>
      <c r="Q49" s="168">
        <v>0</v>
      </c>
      <c r="R49" s="169"/>
      <c r="S49" s="168">
        <v>0</v>
      </c>
      <c r="T49" s="169"/>
      <c r="U49" s="168">
        <v>3375</v>
      </c>
      <c r="V49" s="169"/>
      <c r="W49" s="168">
        <v>4500</v>
      </c>
      <c r="X49" s="169"/>
      <c r="Y49" s="168">
        <v>4274</v>
      </c>
      <c r="Z49" s="169"/>
      <c r="AA49" s="168">
        <v>4275</v>
      </c>
      <c r="AB49" s="169"/>
      <c r="AC49" s="168">
        <v>3893.3</v>
      </c>
      <c r="AD49" s="169"/>
      <c r="AE49" s="168">
        <f t="shared" ref="AE49:AE85" si="3">ROUND(SUM(G49:AC49),5)</f>
        <v>20317.3</v>
      </c>
      <c r="AF49" s="183">
        <f>+AE49+AE50+AE51+AE52+AE58</f>
        <v>176015.71999999997</v>
      </c>
    </row>
    <row r="50" spans="1:32">
      <c r="A50" s="167"/>
      <c r="B50" s="167"/>
      <c r="C50" s="167"/>
      <c r="D50" s="167"/>
      <c r="E50" s="167"/>
      <c r="F50" s="167" t="s">
        <v>200</v>
      </c>
      <c r="G50" s="168">
        <v>0</v>
      </c>
      <c r="H50" s="169"/>
      <c r="I50" s="168">
        <v>0</v>
      </c>
      <c r="J50" s="169"/>
      <c r="K50" s="168">
        <v>0</v>
      </c>
      <c r="L50" s="169"/>
      <c r="M50" s="168">
        <v>2278</v>
      </c>
      <c r="N50" s="169"/>
      <c r="O50" s="168">
        <v>722</v>
      </c>
      <c r="P50" s="169"/>
      <c r="Q50" s="168">
        <v>526.32000000000005</v>
      </c>
      <c r="R50" s="169"/>
      <c r="S50" s="168">
        <v>2800</v>
      </c>
      <c r="T50" s="169"/>
      <c r="U50" s="168">
        <v>50</v>
      </c>
      <c r="V50" s="169"/>
      <c r="W50" s="168">
        <v>7517.42</v>
      </c>
      <c r="X50" s="169"/>
      <c r="Y50" s="168">
        <v>1900</v>
      </c>
      <c r="Z50" s="169"/>
      <c r="AA50" s="168">
        <v>199</v>
      </c>
      <c r="AB50" s="169"/>
      <c r="AC50" s="168">
        <v>5432.02</v>
      </c>
      <c r="AD50" s="169"/>
      <c r="AE50" s="168">
        <f t="shared" si="3"/>
        <v>21424.76</v>
      </c>
    </row>
    <row r="51" spans="1:32">
      <c r="A51" s="167"/>
      <c r="B51" s="167"/>
      <c r="C51" s="167"/>
      <c r="D51" s="167"/>
      <c r="E51" s="167"/>
      <c r="F51" s="167" t="s">
        <v>281</v>
      </c>
      <c r="G51" s="168">
        <v>6606.08</v>
      </c>
      <c r="H51" s="169"/>
      <c r="I51" s="168">
        <v>0</v>
      </c>
      <c r="J51" s="169"/>
      <c r="K51" s="168">
        <v>3539.49</v>
      </c>
      <c r="L51" s="169"/>
      <c r="M51" s="168">
        <v>8455.17</v>
      </c>
      <c r="N51" s="169"/>
      <c r="O51" s="168">
        <v>8221.65</v>
      </c>
      <c r="P51" s="169"/>
      <c r="Q51" s="168">
        <v>8026.56</v>
      </c>
      <c r="R51" s="169"/>
      <c r="S51" s="168">
        <v>13102.49</v>
      </c>
      <c r="T51" s="169"/>
      <c r="U51" s="168">
        <v>8585.5</v>
      </c>
      <c r="V51" s="169"/>
      <c r="W51" s="168">
        <v>7722.04</v>
      </c>
      <c r="X51" s="169"/>
      <c r="Y51" s="168">
        <v>8112.73</v>
      </c>
      <c r="Z51" s="169"/>
      <c r="AA51" s="168">
        <v>8806.92</v>
      </c>
      <c r="AB51" s="169"/>
      <c r="AC51" s="168">
        <v>8583.9599999999991</v>
      </c>
      <c r="AD51" s="169"/>
      <c r="AE51" s="168">
        <f t="shared" si="3"/>
        <v>89762.59</v>
      </c>
    </row>
    <row r="52" spans="1:32">
      <c r="A52" s="167"/>
      <c r="B52" s="167"/>
      <c r="C52" s="167"/>
      <c r="D52" s="167"/>
      <c r="E52" s="167"/>
      <c r="F52" s="167" t="s">
        <v>201</v>
      </c>
      <c r="G52" s="168">
        <v>2821.62</v>
      </c>
      <c r="H52" s="169"/>
      <c r="I52" s="168">
        <v>0</v>
      </c>
      <c r="J52" s="169"/>
      <c r="K52" s="168">
        <v>1546.23</v>
      </c>
      <c r="L52" s="169"/>
      <c r="M52" s="168">
        <v>4638.6899999999996</v>
      </c>
      <c r="N52" s="169"/>
      <c r="O52" s="168">
        <v>4604.6499999999996</v>
      </c>
      <c r="P52" s="169"/>
      <c r="Q52" s="168">
        <v>2797.94</v>
      </c>
      <c r="R52" s="169"/>
      <c r="S52" s="168">
        <v>5154.1000000000004</v>
      </c>
      <c r="T52" s="169"/>
      <c r="U52" s="168">
        <v>4049.65</v>
      </c>
      <c r="V52" s="169"/>
      <c r="W52" s="168">
        <v>3092.46</v>
      </c>
      <c r="X52" s="169"/>
      <c r="Y52" s="168">
        <v>3092.46</v>
      </c>
      <c r="Z52" s="169"/>
      <c r="AA52" s="168">
        <v>4123.28</v>
      </c>
      <c r="AB52" s="169"/>
      <c r="AC52" s="168">
        <v>2724.31</v>
      </c>
      <c r="AD52" s="169"/>
      <c r="AE52" s="168">
        <f t="shared" si="3"/>
        <v>38645.39</v>
      </c>
    </row>
    <row r="53" spans="1:32">
      <c r="A53" s="167"/>
      <c r="B53" s="167"/>
      <c r="C53" s="167"/>
      <c r="D53" s="167"/>
      <c r="E53" s="167"/>
      <c r="F53" s="167" t="s">
        <v>282</v>
      </c>
      <c r="G53" s="168">
        <v>0</v>
      </c>
      <c r="H53" s="169"/>
      <c r="I53" s="168">
        <v>0</v>
      </c>
      <c r="J53" s="169"/>
      <c r="K53" s="168">
        <v>0</v>
      </c>
      <c r="L53" s="169"/>
      <c r="M53" s="168">
        <v>40</v>
      </c>
      <c r="N53" s="169"/>
      <c r="O53" s="168">
        <v>0</v>
      </c>
      <c r="P53" s="169"/>
      <c r="Q53" s="168">
        <v>0</v>
      </c>
      <c r="R53" s="169"/>
      <c r="S53" s="168">
        <v>0</v>
      </c>
      <c r="T53" s="169"/>
      <c r="U53" s="168">
        <v>0</v>
      </c>
      <c r="V53" s="169"/>
      <c r="W53" s="168">
        <v>0</v>
      </c>
      <c r="X53" s="169"/>
      <c r="Y53" s="168">
        <v>0</v>
      </c>
      <c r="Z53" s="169"/>
      <c r="AA53" s="168">
        <v>0</v>
      </c>
      <c r="AB53" s="169"/>
      <c r="AC53" s="168">
        <v>0</v>
      </c>
      <c r="AD53" s="169"/>
      <c r="AE53" s="168">
        <f t="shared" si="3"/>
        <v>40</v>
      </c>
    </row>
    <row r="54" spans="1:32">
      <c r="A54" s="167"/>
      <c r="B54" s="167"/>
      <c r="C54" s="167"/>
      <c r="D54" s="167"/>
      <c r="E54" s="167"/>
      <c r="F54" s="167" t="s">
        <v>202</v>
      </c>
      <c r="G54" s="168">
        <v>0</v>
      </c>
      <c r="H54" s="169"/>
      <c r="I54" s="168">
        <v>28400.23</v>
      </c>
      <c r="J54" s="169"/>
      <c r="K54" s="168">
        <v>30373.16</v>
      </c>
      <c r="L54" s="169"/>
      <c r="M54" s="168">
        <v>28809.82</v>
      </c>
      <c r="N54" s="169"/>
      <c r="O54" s="168">
        <v>28411.07</v>
      </c>
      <c r="P54" s="169"/>
      <c r="Q54" s="168">
        <v>32254.99</v>
      </c>
      <c r="R54" s="169"/>
      <c r="S54" s="168">
        <v>27368.19</v>
      </c>
      <c r="T54" s="169"/>
      <c r="U54" s="168">
        <v>27192.32</v>
      </c>
      <c r="V54" s="169"/>
      <c r="W54" s="168">
        <v>28054.62</v>
      </c>
      <c r="X54" s="169"/>
      <c r="Y54" s="168">
        <v>29182.67</v>
      </c>
      <c r="Z54" s="169"/>
      <c r="AA54" s="168">
        <v>30178.46</v>
      </c>
      <c r="AB54" s="169"/>
      <c r="AC54" s="168">
        <v>28298.28</v>
      </c>
      <c r="AD54" s="169"/>
      <c r="AE54" s="168">
        <f t="shared" si="3"/>
        <v>318523.81</v>
      </c>
    </row>
    <row r="55" spans="1:32">
      <c r="A55" s="167"/>
      <c r="B55" s="167"/>
      <c r="C55" s="167"/>
      <c r="D55" s="167"/>
      <c r="E55" s="167"/>
      <c r="F55" s="167" t="s">
        <v>203</v>
      </c>
      <c r="G55" s="168">
        <v>5679.94</v>
      </c>
      <c r="H55" s="169"/>
      <c r="I55" s="168">
        <v>5680.67</v>
      </c>
      <c r="J55" s="169"/>
      <c r="K55" s="168">
        <v>6075.26</v>
      </c>
      <c r="L55" s="169"/>
      <c r="M55" s="168">
        <v>5762.59</v>
      </c>
      <c r="N55" s="169"/>
      <c r="O55" s="168">
        <v>5682.84</v>
      </c>
      <c r="P55" s="169"/>
      <c r="Q55" s="168">
        <v>6455.37</v>
      </c>
      <c r="R55" s="169"/>
      <c r="S55" s="168">
        <v>5473.64</v>
      </c>
      <c r="T55" s="169"/>
      <c r="U55" s="168">
        <v>5438.46</v>
      </c>
      <c r="V55" s="169"/>
      <c r="W55" s="168">
        <v>5610.92</v>
      </c>
      <c r="X55" s="169"/>
      <c r="Y55" s="168">
        <v>5836.53</v>
      </c>
      <c r="Z55" s="169"/>
      <c r="AA55" s="168">
        <v>6035.69</v>
      </c>
      <c r="AB55" s="169"/>
      <c r="AC55" s="168">
        <v>5659.66</v>
      </c>
      <c r="AD55" s="169"/>
      <c r="AE55" s="168">
        <f t="shared" si="3"/>
        <v>69391.570000000007</v>
      </c>
    </row>
    <row r="56" spans="1:32">
      <c r="A56" s="167"/>
      <c r="B56" s="167"/>
      <c r="C56" s="167"/>
      <c r="D56" s="167"/>
      <c r="E56" s="167"/>
      <c r="F56" s="167" t="s">
        <v>204</v>
      </c>
      <c r="G56" s="168">
        <v>17838.099999999999</v>
      </c>
      <c r="H56" s="169"/>
      <c r="I56" s="168">
        <v>11958.1</v>
      </c>
      <c r="J56" s="169"/>
      <c r="K56" s="168">
        <v>3460</v>
      </c>
      <c r="L56" s="169"/>
      <c r="M56" s="168">
        <v>-8038.1</v>
      </c>
      <c r="N56" s="169"/>
      <c r="O56" s="168">
        <v>1960</v>
      </c>
      <c r="P56" s="169"/>
      <c r="Q56" s="168">
        <v>1960</v>
      </c>
      <c r="R56" s="169"/>
      <c r="S56" s="168">
        <v>1960</v>
      </c>
      <c r="T56" s="169"/>
      <c r="U56" s="168">
        <v>6820</v>
      </c>
      <c r="V56" s="169"/>
      <c r="W56" s="168">
        <v>2547.5</v>
      </c>
      <c r="X56" s="169"/>
      <c r="Y56" s="168">
        <v>4960</v>
      </c>
      <c r="Z56" s="169"/>
      <c r="AA56" s="168">
        <v>2157.38</v>
      </c>
      <c r="AB56" s="169"/>
      <c r="AC56" s="168">
        <v>1981.8</v>
      </c>
      <c r="AD56" s="169"/>
      <c r="AE56" s="168">
        <f t="shared" si="3"/>
        <v>49564.78</v>
      </c>
    </row>
    <row r="57" spans="1:32">
      <c r="A57" s="167"/>
      <c r="B57" s="167"/>
      <c r="C57" s="167"/>
      <c r="D57" s="167"/>
      <c r="E57" s="167"/>
      <c r="F57" s="167" t="s">
        <v>205</v>
      </c>
      <c r="G57" s="168">
        <v>1125</v>
      </c>
      <c r="H57" s="169"/>
      <c r="I57" s="168">
        <v>0</v>
      </c>
      <c r="J57" s="169"/>
      <c r="K57" s="168">
        <v>1250</v>
      </c>
      <c r="L57" s="169"/>
      <c r="M57" s="168">
        <v>1250</v>
      </c>
      <c r="N57" s="169"/>
      <c r="O57" s="168">
        <v>1250</v>
      </c>
      <c r="P57" s="169"/>
      <c r="Q57" s="168">
        <v>0</v>
      </c>
      <c r="R57" s="169"/>
      <c r="S57" s="168">
        <v>1250</v>
      </c>
      <c r="T57" s="169"/>
      <c r="U57" s="168">
        <v>625</v>
      </c>
      <c r="V57" s="169"/>
      <c r="W57" s="168">
        <v>1875</v>
      </c>
      <c r="X57" s="169"/>
      <c r="Y57" s="168">
        <v>1250</v>
      </c>
      <c r="Z57" s="169"/>
      <c r="AA57" s="168">
        <v>1250</v>
      </c>
      <c r="AB57" s="169"/>
      <c r="AC57" s="168">
        <v>1500</v>
      </c>
      <c r="AD57" s="169"/>
      <c r="AE57" s="168">
        <f t="shared" si="3"/>
        <v>12625</v>
      </c>
    </row>
    <row r="58" spans="1:32">
      <c r="A58" s="167"/>
      <c r="B58" s="167"/>
      <c r="C58" s="167"/>
      <c r="D58" s="167"/>
      <c r="E58" s="167"/>
      <c r="F58" s="167" t="s">
        <v>267</v>
      </c>
      <c r="G58" s="168">
        <v>25</v>
      </c>
      <c r="H58" s="169"/>
      <c r="I58" s="168">
        <v>117.5</v>
      </c>
      <c r="J58" s="169"/>
      <c r="K58" s="168">
        <v>0</v>
      </c>
      <c r="L58" s="169"/>
      <c r="M58" s="168">
        <v>0</v>
      </c>
      <c r="N58" s="169"/>
      <c r="O58" s="168">
        <v>0</v>
      </c>
      <c r="P58" s="169"/>
      <c r="Q58" s="168">
        <v>180</v>
      </c>
      <c r="R58" s="169"/>
      <c r="S58" s="168">
        <v>35</v>
      </c>
      <c r="T58" s="169"/>
      <c r="U58" s="168">
        <v>3205.88</v>
      </c>
      <c r="V58" s="169"/>
      <c r="W58" s="168">
        <v>0</v>
      </c>
      <c r="X58" s="169"/>
      <c r="Y58" s="168">
        <v>2302.3000000000002</v>
      </c>
      <c r="Z58" s="169"/>
      <c r="AA58" s="168">
        <v>0</v>
      </c>
      <c r="AB58" s="169"/>
      <c r="AC58" s="168">
        <v>0</v>
      </c>
      <c r="AD58" s="169"/>
      <c r="AE58" s="168">
        <f t="shared" si="3"/>
        <v>5865.68</v>
      </c>
    </row>
    <row r="59" spans="1:32">
      <c r="A59" s="167"/>
      <c r="B59" s="167"/>
      <c r="C59" s="167"/>
      <c r="D59" s="167"/>
      <c r="E59" s="167"/>
      <c r="F59" s="167" t="s">
        <v>206</v>
      </c>
      <c r="G59" s="168">
        <v>4000</v>
      </c>
      <c r="H59" s="169"/>
      <c r="I59" s="168">
        <v>6300</v>
      </c>
      <c r="J59" s="169"/>
      <c r="K59" s="168">
        <v>6750</v>
      </c>
      <c r="L59" s="169"/>
      <c r="M59" s="168">
        <v>4000</v>
      </c>
      <c r="N59" s="169"/>
      <c r="O59" s="168">
        <v>4000</v>
      </c>
      <c r="P59" s="169"/>
      <c r="Q59" s="168">
        <v>4000</v>
      </c>
      <c r="R59" s="169"/>
      <c r="S59" s="168">
        <v>4000</v>
      </c>
      <c r="T59" s="169"/>
      <c r="U59" s="168">
        <v>4000</v>
      </c>
      <c r="V59" s="169"/>
      <c r="W59" s="168">
        <v>4000</v>
      </c>
      <c r="X59" s="169"/>
      <c r="Y59" s="168">
        <v>4000</v>
      </c>
      <c r="Z59" s="169"/>
      <c r="AA59" s="168">
        <v>4000</v>
      </c>
      <c r="AB59" s="169"/>
      <c r="AC59" s="168">
        <v>4000</v>
      </c>
      <c r="AD59" s="169"/>
      <c r="AE59" s="168">
        <f t="shared" si="3"/>
        <v>53050</v>
      </c>
    </row>
    <row r="60" spans="1:32">
      <c r="A60" s="167"/>
      <c r="B60" s="167"/>
      <c r="C60" s="167"/>
      <c r="D60" s="167"/>
      <c r="E60" s="167"/>
      <c r="F60" s="167" t="s">
        <v>207</v>
      </c>
      <c r="G60" s="168">
        <v>3500</v>
      </c>
      <c r="H60" s="169"/>
      <c r="I60" s="168">
        <v>3500</v>
      </c>
      <c r="J60" s="169"/>
      <c r="K60" s="168">
        <v>3500</v>
      </c>
      <c r="L60" s="169"/>
      <c r="M60" s="168">
        <v>4053.5</v>
      </c>
      <c r="N60" s="169"/>
      <c r="O60" s="168">
        <v>4750.5</v>
      </c>
      <c r="P60" s="169"/>
      <c r="Q60" s="168">
        <v>4750.5</v>
      </c>
      <c r="R60" s="169"/>
      <c r="S60" s="168">
        <v>5222</v>
      </c>
      <c r="T60" s="169"/>
      <c r="U60" s="168">
        <v>4422.5</v>
      </c>
      <c r="V60" s="169"/>
      <c r="W60" s="168">
        <v>3500</v>
      </c>
      <c r="X60" s="169"/>
      <c r="Y60" s="168">
        <v>3500</v>
      </c>
      <c r="Z60" s="169"/>
      <c r="AA60" s="168">
        <v>3500</v>
      </c>
      <c r="AB60" s="169"/>
      <c r="AC60" s="168">
        <v>3500</v>
      </c>
      <c r="AD60" s="169"/>
      <c r="AE60" s="168">
        <f t="shared" si="3"/>
        <v>47699</v>
      </c>
    </row>
    <row r="61" spans="1:32">
      <c r="A61" s="167"/>
      <c r="B61" s="167"/>
      <c r="C61" s="167"/>
      <c r="D61" s="167"/>
      <c r="E61" s="167"/>
      <c r="F61" s="167" t="s">
        <v>208</v>
      </c>
      <c r="G61" s="168">
        <v>444.84</v>
      </c>
      <c r="H61" s="169"/>
      <c r="I61" s="168">
        <v>1370.87</v>
      </c>
      <c r="J61" s="169"/>
      <c r="K61" s="168">
        <v>2141.29</v>
      </c>
      <c r="L61" s="169"/>
      <c r="M61" s="168">
        <v>1621.83</v>
      </c>
      <c r="N61" s="169"/>
      <c r="O61" s="168">
        <v>1636.99</v>
      </c>
      <c r="P61" s="169"/>
      <c r="Q61" s="168">
        <v>1075.78</v>
      </c>
      <c r="R61" s="169"/>
      <c r="S61" s="168">
        <v>832.74</v>
      </c>
      <c r="T61" s="169"/>
      <c r="U61" s="168">
        <v>2012.05</v>
      </c>
      <c r="V61" s="169"/>
      <c r="W61" s="168">
        <v>1988.67</v>
      </c>
      <c r="X61" s="169"/>
      <c r="Y61" s="168">
        <v>638.66</v>
      </c>
      <c r="Z61" s="169"/>
      <c r="AA61" s="168">
        <v>17471.88</v>
      </c>
      <c r="AB61" s="169"/>
      <c r="AC61" s="168">
        <v>365.45</v>
      </c>
      <c r="AD61" s="169"/>
      <c r="AE61" s="180">
        <f t="shared" si="3"/>
        <v>31601.05</v>
      </c>
    </row>
    <row r="62" spans="1:32">
      <c r="A62" s="167"/>
      <c r="B62" s="167"/>
      <c r="C62" s="167"/>
      <c r="D62" s="167"/>
      <c r="E62" s="167"/>
      <c r="F62" s="167" t="s">
        <v>209</v>
      </c>
      <c r="G62" s="168">
        <v>1596</v>
      </c>
      <c r="H62" s="169"/>
      <c r="I62" s="168">
        <v>2464.5</v>
      </c>
      <c r="J62" s="169"/>
      <c r="K62" s="168">
        <v>9159.4699999999993</v>
      </c>
      <c r="L62" s="169"/>
      <c r="M62" s="168">
        <v>7558.64</v>
      </c>
      <c r="N62" s="169"/>
      <c r="O62" s="168">
        <v>6424.25</v>
      </c>
      <c r="P62" s="169"/>
      <c r="Q62" s="168">
        <v>6379.25</v>
      </c>
      <c r="R62" s="169"/>
      <c r="S62" s="168">
        <v>4910.75</v>
      </c>
      <c r="T62" s="169"/>
      <c r="U62" s="168">
        <v>6353.75</v>
      </c>
      <c r="V62" s="169"/>
      <c r="W62" s="168">
        <v>8349.11</v>
      </c>
      <c r="X62" s="169"/>
      <c r="Y62" s="168">
        <v>7082.88</v>
      </c>
      <c r="Z62" s="169"/>
      <c r="AA62" s="168">
        <v>7728.49</v>
      </c>
      <c r="AB62" s="169"/>
      <c r="AC62" s="168">
        <v>8081.5</v>
      </c>
      <c r="AD62" s="169"/>
      <c r="AE62" s="180">
        <f t="shared" si="3"/>
        <v>76088.59</v>
      </c>
    </row>
    <row r="63" spans="1:32">
      <c r="A63" s="167"/>
      <c r="B63" s="167"/>
      <c r="C63" s="167"/>
      <c r="D63" s="167"/>
      <c r="E63" s="167"/>
      <c r="F63" s="167" t="s">
        <v>210</v>
      </c>
      <c r="G63" s="168">
        <v>891.49</v>
      </c>
      <c r="H63" s="169"/>
      <c r="I63" s="168">
        <v>871.44</v>
      </c>
      <c r="J63" s="169"/>
      <c r="K63" s="168">
        <v>1130.81</v>
      </c>
      <c r="L63" s="169"/>
      <c r="M63" s="168">
        <v>1136.6500000000001</v>
      </c>
      <c r="N63" s="169"/>
      <c r="O63" s="168">
        <v>1167</v>
      </c>
      <c r="P63" s="169"/>
      <c r="Q63" s="168">
        <v>1166.4000000000001</v>
      </c>
      <c r="R63" s="169"/>
      <c r="S63" s="168">
        <v>1128.5899999999999</v>
      </c>
      <c r="T63" s="169"/>
      <c r="U63" s="168">
        <v>1129.77</v>
      </c>
      <c r="V63" s="169"/>
      <c r="W63" s="168">
        <v>1195.73</v>
      </c>
      <c r="X63" s="169"/>
      <c r="Y63" s="168">
        <v>1101.3699999999999</v>
      </c>
      <c r="Z63" s="169"/>
      <c r="AA63" s="168">
        <v>1097.2</v>
      </c>
      <c r="AB63" s="169"/>
      <c r="AC63" s="168">
        <v>1077.3900000000001</v>
      </c>
      <c r="AD63" s="169"/>
      <c r="AE63" s="180">
        <f t="shared" si="3"/>
        <v>13093.84</v>
      </c>
    </row>
    <row r="64" spans="1:32">
      <c r="A64" s="167"/>
      <c r="B64" s="167"/>
      <c r="C64" s="167"/>
      <c r="D64" s="167"/>
      <c r="E64" s="167"/>
      <c r="F64" s="167" t="s">
        <v>211</v>
      </c>
      <c r="G64" s="168">
        <v>0</v>
      </c>
      <c r="H64" s="169"/>
      <c r="I64" s="168">
        <v>49.46</v>
      </c>
      <c r="J64" s="169"/>
      <c r="K64" s="168">
        <v>0</v>
      </c>
      <c r="L64" s="169"/>
      <c r="M64" s="168">
        <v>0</v>
      </c>
      <c r="N64" s="169"/>
      <c r="O64" s="168">
        <v>0</v>
      </c>
      <c r="P64" s="169"/>
      <c r="Q64" s="168">
        <v>0</v>
      </c>
      <c r="R64" s="169"/>
      <c r="S64" s="168">
        <v>949</v>
      </c>
      <c r="T64" s="169"/>
      <c r="U64" s="168">
        <v>740</v>
      </c>
      <c r="V64" s="169"/>
      <c r="W64" s="168">
        <v>684</v>
      </c>
      <c r="X64" s="169"/>
      <c r="Y64" s="168">
        <v>115</v>
      </c>
      <c r="Z64" s="169"/>
      <c r="AA64" s="168">
        <v>3250.99</v>
      </c>
      <c r="AB64" s="169"/>
      <c r="AC64" s="168">
        <v>0</v>
      </c>
      <c r="AD64" s="169"/>
      <c r="AE64" s="180">
        <f t="shared" si="3"/>
        <v>5788.45</v>
      </c>
    </row>
    <row r="65" spans="1:32">
      <c r="A65" s="167"/>
      <c r="B65" s="167"/>
      <c r="C65" s="167"/>
      <c r="D65" s="167"/>
      <c r="E65" s="167"/>
      <c r="F65" s="167" t="s">
        <v>212</v>
      </c>
      <c r="G65" s="168">
        <v>0</v>
      </c>
      <c r="H65" s="169"/>
      <c r="I65" s="168">
        <v>832</v>
      </c>
      <c r="J65" s="169"/>
      <c r="K65" s="168">
        <v>832</v>
      </c>
      <c r="L65" s="169"/>
      <c r="M65" s="168">
        <v>832</v>
      </c>
      <c r="N65" s="169"/>
      <c r="O65" s="168">
        <v>832</v>
      </c>
      <c r="P65" s="169"/>
      <c r="Q65" s="168">
        <v>832</v>
      </c>
      <c r="R65" s="169"/>
      <c r="S65" s="168">
        <v>856.96</v>
      </c>
      <c r="T65" s="169"/>
      <c r="U65" s="168">
        <v>856.96</v>
      </c>
      <c r="V65" s="169"/>
      <c r="W65" s="168">
        <v>1713.92</v>
      </c>
      <c r="X65" s="169"/>
      <c r="Y65" s="168">
        <v>0</v>
      </c>
      <c r="Z65" s="169"/>
      <c r="AA65" s="168">
        <v>856.96</v>
      </c>
      <c r="AB65" s="169"/>
      <c r="AC65" s="168">
        <v>1713.92</v>
      </c>
      <c r="AD65" s="169"/>
      <c r="AE65" s="180">
        <f t="shared" si="3"/>
        <v>10158.719999999999</v>
      </c>
    </row>
    <row r="66" spans="1:32">
      <c r="A66" s="167"/>
      <c r="B66" s="167"/>
      <c r="C66" s="167"/>
      <c r="D66" s="167"/>
      <c r="E66" s="167"/>
      <c r="F66" s="167" t="s">
        <v>214</v>
      </c>
      <c r="G66" s="168">
        <v>717.4</v>
      </c>
      <c r="H66" s="169"/>
      <c r="I66" s="168">
        <v>453</v>
      </c>
      <c r="J66" s="169"/>
      <c r="K66" s="168">
        <v>484.95</v>
      </c>
      <c r="L66" s="169"/>
      <c r="M66" s="168">
        <v>1814.95</v>
      </c>
      <c r="N66" s="169"/>
      <c r="O66" s="168">
        <v>397.95</v>
      </c>
      <c r="P66" s="169"/>
      <c r="Q66" s="168">
        <v>714.7</v>
      </c>
      <c r="R66" s="169"/>
      <c r="S66" s="168">
        <v>599.45000000000005</v>
      </c>
      <c r="T66" s="169"/>
      <c r="U66" s="168">
        <v>657.25</v>
      </c>
      <c r="V66" s="169"/>
      <c r="W66" s="168">
        <v>579.5</v>
      </c>
      <c r="X66" s="169"/>
      <c r="Y66" s="168">
        <v>603.65</v>
      </c>
      <c r="Z66" s="169"/>
      <c r="AA66" s="168">
        <v>635.85</v>
      </c>
      <c r="AB66" s="169"/>
      <c r="AC66" s="168">
        <v>710.85</v>
      </c>
      <c r="AD66" s="169"/>
      <c r="AE66" s="180">
        <f t="shared" si="3"/>
        <v>8369.5</v>
      </c>
    </row>
    <row r="67" spans="1:32">
      <c r="A67" s="167"/>
      <c r="B67" s="167"/>
      <c r="C67" s="167"/>
      <c r="D67" s="167"/>
      <c r="E67" s="167"/>
      <c r="F67" s="167" t="s">
        <v>215</v>
      </c>
      <c r="G67" s="168">
        <v>15000</v>
      </c>
      <c r="H67" s="169"/>
      <c r="I67" s="168">
        <v>15000</v>
      </c>
      <c r="J67" s="169"/>
      <c r="K67" s="168">
        <v>15000</v>
      </c>
      <c r="L67" s="169"/>
      <c r="M67" s="168">
        <v>15000</v>
      </c>
      <c r="N67" s="169"/>
      <c r="O67" s="168">
        <v>15000</v>
      </c>
      <c r="P67" s="169"/>
      <c r="Q67" s="168">
        <v>0</v>
      </c>
      <c r="R67" s="169"/>
      <c r="S67" s="168">
        <v>30000</v>
      </c>
      <c r="T67" s="169"/>
      <c r="U67" s="168">
        <v>15000</v>
      </c>
      <c r="V67" s="169"/>
      <c r="W67" s="168">
        <v>15000</v>
      </c>
      <c r="X67" s="169"/>
      <c r="Y67" s="168">
        <v>15000</v>
      </c>
      <c r="Z67" s="169"/>
      <c r="AA67" s="168">
        <v>15000</v>
      </c>
      <c r="AB67" s="169"/>
      <c r="AC67" s="168">
        <v>15000</v>
      </c>
      <c r="AD67" s="169"/>
      <c r="AE67" s="180">
        <f t="shared" si="3"/>
        <v>180000</v>
      </c>
    </row>
    <row r="68" spans="1:32">
      <c r="A68" s="167"/>
      <c r="B68" s="167"/>
      <c r="C68" s="167"/>
      <c r="D68" s="167"/>
      <c r="E68" s="167"/>
      <c r="F68" s="167" t="s">
        <v>216</v>
      </c>
      <c r="G68" s="168">
        <v>295</v>
      </c>
      <c r="H68" s="169"/>
      <c r="I68" s="168">
        <v>295</v>
      </c>
      <c r="J68" s="169"/>
      <c r="K68" s="168">
        <v>295</v>
      </c>
      <c r="L68" s="169"/>
      <c r="M68" s="168">
        <v>295</v>
      </c>
      <c r="N68" s="169"/>
      <c r="O68" s="168">
        <v>295</v>
      </c>
      <c r="P68" s="169"/>
      <c r="Q68" s="168">
        <v>295</v>
      </c>
      <c r="R68" s="169"/>
      <c r="S68" s="168">
        <v>295</v>
      </c>
      <c r="T68" s="169"/>
      <c r="U68" s="168">
        <v>295</v>
      </c>
      <c r="V68" s="169"/>
      <c r="W68" s="168">
        <v>865</v>
      </c>
      <c r="X68" s="169"/>
      <c r="Y68" s="168">
        <v>790</v>
      </c>
      <c r="Z68" s="169"/>
      <c r="AA68" s="168">
        <v>790</v>
      </c>
      <c r="AB68" s="169"/>
      <c r="AC68" s="168">
        <v>790</v>
      </c>
      <c r="AD68" s="169"/>
      <c r="AE68" s="180">
        <f t="shared" si="3"/>
        <v>5595</v>
      </c>
    </row>
    <row r="69" spans="1:32">
      <c r="A69" s="167"/>
      <c r="B69" s="167"/>
      <c r="C69" s="167"/>
      <c r="D69" s="167"/>
      <c r="E69" s="167"/>
      <c r="F69" s="167" t="s">
        <v>217</v>
      </c>
      <c r="G69" s="168">
        <v>3813.31</v>
      </c>
      <c r="H69" s="169"/>
      <c r="I69" s="168">
        <v>2525</v>
      </c>
      <c r="J69" s="169"/>
      <c r="K69" s="168">
        <v>0</v>
      </c>
      <c r="L69" s="169"/>
      <c r="M69" s="168">
        <v>75</v>
      </c>
      <c r="N69" s="169"/>
      <c r="O69" s="168">
        <v>0</v>
      </c>
      <c r="P69" s="169"/>
      <c r="Q69" s="168">
        <v>180</v>
      </c>
      <c r="R69" s="169"/>
      <c r="S69" s="168">
        <v>0</v>
      </c>
      <c r="T69" s="169"/>
      <c r="U69" s="168">
        <v>0</v>
      </c>
      <c r="V69" s="169"/>
      <c r="W69" s="168">
        <v>0</v>
      </c>
      <c r="X69" s="169"/>
      <c r="Y69" s="168">
        <v>325</v>
      </c>
      <c r="Z69" s="169"/>
      <c r="AA69" s="168">
        <v>13558.5</v>
      </c>
      <c r="AB69" s="169"/>
      <c r="AC69" s="168">
        <v>1230</v>
      </c>
      <c r="AD69" s="169"/>
      <c r="AE69" s="180">
        <f t="shared" si="3"/>
        <v>21706.81</v>
      </c>
    </row>
    <row r="70" spans="1:32">
      <c r="A70" s="167"/>
      <c r="B70" s="167"/>
      <c r="C70" s="167"/>
      <c r="D70" s="167"/>
      <c r="E70" s="167"/>
      <c r="F70" s="167" t="s">
        <v>218</v>
      </c>
      <c r="G70" s="168">
        <v>128.82</v>
      </c>
      <c r="H70" s="169"/>
      <c r="I70" s="168">
        <v>29.98</v>
      </c>
      <c r="J70" s="169"/>
      <c r="K70" s="168">
        <v>82.63</v>
      </c>
      <c r="L70" s="169"/>
      <c r="M70" s="168">
        <v>276.85000000000002</v>
      </c>
      <c r="N70" s="169"/>
      <c r="O70" s="168">
        <v>50.93</v>
      </c>
      <c r="P70" s="169"/>
      <c r="Q70" s="168">
        <v>0</v>
      </c>
      <c r="R70" s="169"/>
      <c r="S70" s="168">
        <v>188.86</v>
      </c>
      <c r="T70" s="169"/>
      <c r="U70" s="168">
        <v>54.5</v>
      </c>
      <c r="V70" s="169"/>
      <c r="W70" s="168">
        <v>122.83</v>
      </c>
      <c r="X70" s="169"/>
      <c r="Y70" s="168">
        <v>53.11</v>
      </c>
      <c r="Z70" s="169"/>
      <c r="AA70" s="168">
        <v>40.25</v>
      </c>
      <c r="AB70" s="169"/>
      <c r="AC70" s="168">
        <v>94.28</v>
      </c>
      <c r="AD70" s="169"/>
      <c r="AE70" s="168">
        <f t="shared" si="3"/>
        <v>1123.04</v>
      </c>
      <c r="AF70" t="s">
        <v>283</v>
      </c>
    </row>
    <row r="71" spans="1:32">
      <c r="A71" s="167"/>
      <c r="B71" s="167"/>
      <c r="C71" s="167"/>
      <c r="D71" s="167"/>
      <c r="E71" s="167"/>
      <c r="F71" s="167" t="s">
        <v>219</v>
      </c>
      <c r="G71" s="168">
        <v>0</v>
      </c>
      <c r="H71" s="169"/>
      <c r="I71" s="168">
        <v>0</v>
      </c>
      <c r="J71" s="169"/>
      <c r="K71" s="168">
        <v>0</v>
      </c>
      <c r="L71" s="169"/>
      <c r="M71" s="168">
        <v>0</v>
      </c>
      <c r="N71" s="169"/>
      <c r="O71" s="168">
        <v>0</v>
      </c>
      <c r="P71" s="169"/>
      <c r="Q71" s="168">
        <v>0</v>
      </c>
      <c r="R71" s="169"/>
      <c r="S71" s="168">
        <v>0</v>
      </c>
      <c r="T71" s="169"/>
      <c r="U71" s="168">
        <v>1194.01</v>
      </c>
      <c r="V71" s="169"/>
      <c r="W71" s="168">
        <v>255.91</v>
      </c>
      <c r="X71" s="169"/>
      <c r="Y71" s="168">
        <v>523.74</v>
      </c>
      <c r="Z71" s="169"/>
      <c r="AA71" s="168">
        <v>246.04</v>
      </c>
      <c r="AB71" s="169"/>
      <c r="AC71" s="168">
        <v>109.94</v>
      </c>
      <c r="AD71" s="169"/>
      <c r="AE71" s="168">
        <f t="shared" si="3"/>
        <v>2329.64</v>
      </c>
      <c r="AF71" t="s">
        <v>283</v>
      </c>
    </row>
    <row r="72" spans="1:32">
      <c r="A72" s="167"/>
      <c r="B72" s="167"/>
      <c r="C72" s="167"/>
      <c r="D72" s="167"/>
      <c r="E72" s="167"/>
      <c r="F72" s="167" t="s">
        <v>220</v>
      </c>
      <c r="G72" s="168">
        <v>461.63</v>
      </c>
      <c r="H72" s="169"/>
      <c r="I72" s="168">
        <v>314.43</v>
      </c>
      <c r="J72" s="169"/>
      <c r="K72" s="168">
        <v>700.38</v>
      </c>
      <c r="L72" s="169"/>
      <c r="M72" s="168">
        <v>169</v>
      </c>
      <c r="N72" s="169"/>
      <c r="O72" s="168">
        <v>180.08</v>
      </c>
      <c r="P72" s="169"/>
      <c r="Q72" s="168">
        <v>349.57</v>
      </c>
      <c r="R72" s="169"/>
      <c r="S72" s="168">
        <v>352.97</v>
      </c>
      <c r="T72" s="169"/>
      <c r="U72" s="168">
        <v>350.26</v>
      </c>
      <c r="V72" s="169"/>
      <c r="W72" s="168">
        <v>350.27</v>
      </c>
      <c r="X72" s="169"/>
      <c r="Y72" s="168">
        <v>349.57</v>
      </c>
      <c r="Z72" s="169"/>
      <c r="AA72" s="168">
        <v>349.57</v>
      </c>
      <c r="AB72" s="169"/>
      <c r="AC72" s="168">
        <v>349.57</v>
      </c>
      <c r="AD72" s="169"/>
      <c r="AE72" s="180">
        <f t="shared" si="3"/>
        <v>4277.3</v>
      </c>
    </row>
    <row r="73" spans="1:32">
      <c r="A73" s="167"/>
      <c r="B73" s="167"/>
      <c r="C73" s="167"/>
      <c r="D73" s="167"/>
      <c r="E73" s="167"/>
      <c r="F73" s="167" t="s">
        <v>221</v>
      </c>
      <c r="G73" s="168">
        <v>0</v>
      </c>
      <c r="H73" s="169"/>
      <c r="I73" s="168">
        <v>324.06</v>
      </c>
      <c r="J73" s="169"/>
      <c r="K73" s="168">
        <v>0</v>
      </c>
      <c r="L73" s="169"/>
      <c r="M73" s="168">
        <v>8.93</v>
      </c>
      <c r="N73" s="169"/>
      <c r="O73" s="168">
        <v>123.05</v>
      </c>
      <c r="P73" s="169"/>
      <c r="Q73" s="168">
        <v>1061.3399999999999</v>
      </c>
      <c r="R73" s="169"/>
      <c r="S73" s="168">
        <v>39.99</v>
      </c>
      <c r="T73" s="169"/>
      <c r="U73" s="168">
        <v>21.64</v>
      </c>
      <c r="V73" s="169"/>
      <c r="W73" s="168">
        <v>336.72</v>
      </c>
      <c r="X73" s="169"/>
      <c r="Y73" s="168">
        <v>210.48</v>
      </c>
      <c r="Z73" s="169"/>
      <c r="AA73" s="168">
        <v>4.6100000000000003</v>
      </c>
      <c r="AB73" s="169"/>
      <c r="AC73" s="168">
        <v>0</v>
      </c>
      <c r="AD73" s="169"/>
      <c r="AE73" s="168">
        <f t="shared" si="3"/>
        <v>2130.8200000000002</v>
      </c>
      <c r="AF73" t="s">
        <v>283</v>
      </c>
    </row>
    <row r="74" spans="1:32">
      <c r="A74" s="167"/>
      <c r="B74" s="167"/>
      <c r="C74" s="167"/>
      <c r="D74" s="167"/>
      <c r="E74" s="167"/>
      <c r="F74" s="167" t="s">
        <v>222</v>
      </c>
      <c r="G74" s="168">
        <v>84.99</v>
      </c>
      <c r="H74" s="169"/>
      <c r="I74" s="168">
        <v>399.6</v>
      </c>
      <c r="J74" s="169"/>
      <c r="K74" s="168">
        <v>0</v>
      </c>
      <c r="L74" s="169"/>
      <c r="M74" s="168">
        <v>0</v>
      </c>
      <c r="N74" s="169"/>
      <c r="O74" s="168">
        <v>0</v>
      </c>
      <c r="P74" s="169"/>
      <c r="Q74" s="168">
        <v>0</v>
      </c>
      <c r="R74" s="169"/>
      <c r="S74" s="168">
        <v>0</v>
      </c>
      <c r="T74" s="169"/>
      <c r="U74" s="168">
        <v>199.8</v>
      </c>
      <c r="V74" s="169"/>
      <c r="W74" s="168">
        <v>0</v>
      </c>
      <c r="X74" s="169"/>
      <c r="Y74" s="168">
        <v>0</v>
      </c>
      <c r="Z74" s="169"/>
      <c r="AA74" s="168">
        <v>199.8</v>
      </c>
      <c r="AB74" s="169"/>
      <c r="AC74" s="168">
        <v>0</v>
      </c>
      <c r="AD74" s="169"/>
      <c r="AE74" s="168">
        <f t="shared" si="3"/>
        <v>884.19</v>
      </c>
      <c r="AF74" t="s">
        <v>283</v>
      </c>
    </row>
    <row r="75" spans="1:32">
      <c r="A75" s="167"/>
      <c r="B75" s="167"/>
      <c r="C75" s="167"/>
      <c r="D75" s="167"/>
      <c r="E75" s="167"/>
      <c r="F75" s="167" t="s">
        <v>223</v>
      </c>
      <c r="G75" s="168">
        <v>0</v>
      </c>
      <c r="H75" s="169"/>
      <c r="I75" s="168">
        <v>0</v>
      </c>
      <c r="J75" s="169"/>
      <c r="K75" s="168">
        <v>0</v>
      </c>
      <c r="L75" s="169"/>
      <c r="M75" s="168">
        <v>0</v>
      </c>
      <c r="N75" s="169"/>
      <c r="O75" s="168">
        <v>157</v>
      </c>
      <c r="P75" s="169"/>
      <c r="Q75" s="168">
        <v>0</v>
      </c>
      <c r="R75" s="169"/>
      <c r="S75" s="168">
        <v>0</v>
      </c>
      <c r="T75" s="169"/>
      <c r="U75" s="168">
        <v>0</v>
      </c>
      <c r="V75" s="169"/>
      <c r="W75" s="168">
        <v>0</v>
      </c>
      <c r="X75" s="169"/>
      <c r="Y75" s="168">
        <v>0</v>
      </c>
      <c r="Z75" s="169"/>
      <c r="AA75" s="168">
        <v>0</v>
      </c>
      <c r="AB75" s="169"/>
      <c r="AC75" s="168">
        <v>0</v>
      </c>
      <c r="AD75" s="169"/>
      <c r="AE75" s="168">
        <f t="shared" si="3"/>
        <v>157</v>
      </c>
      <c r="AF75" t="s">
        <v>283</v>
      </c>
    </row>
    <row r="76" spans="1:32">
      <c r="A76" s="167"/>
      <c r="B76" s="167"/>
      <c r="C76" s="167"/>
      <c r="D76" s="167"/>
      <c r="E76" s="167"/>
      <c r="F76" s="167" t="s">
        <v>224</v>
      </c>
      <c r="G76" s="168">
        <v>5657.66</v>
      </c>
      <c r="H76" s="169"/>
      <c r="I76" s="168">
        <v>230.35</v>
      </c>
      <c r="J76" s="169"/>
      <c r="K76" s="168">
        <v>0</v>
      </c>
      <c r="L76" s="169"/>
      <c r="M76" s="168">
        <v>0</v>
      </c>
      <c r="N76" s="169"/>
      <c r="O76" s="168">
        <v>0</v>
      </c>
      <c r="P76" s="169"/>
      <c r="Q76" s="168">
        <v>0</v>
      </c>
      <c r="R76" s="169"/>
      <c r="S76" s="168">
        <v>0</v>
      </c>
      <c r="T76" s="169"/>
      <c r="U76" s="168">
        <v>1307.1400000000001</v>
      </c>
      <c r="V76" s="169"/>
      <c r="W76" s="168">
        <v>0</v>
      </c>
      <c r="X76" s="169"/>
      <c r="Y76" s="168">
        <v>540.37</v>
      </c>
      <c r="Z76" s="169"/>
      <c r="AA76" s="168">
        <v>90</v>
      </c>
      <c r="AB76" s="169"/>
      <c r="AC76" s="168">
        <v>1729.65</v>
      </c>
      <c r="AD76" s="169"/>
      <c r="AE76" s="168">
        <f t="shared" si="3"/>
        <v>9555.17</v>
      </c>
    </row>
    <row r="77" spans="1:32">
      <c r="A77" s="167"/>
      <c r="B77" s="167"/>
      <c r="C77" s="167"/>
      <c r="D77" s="167"/>
      <c r="E77" s="167"/>
      <c r="F77" s="167" t="s">
        <v>225</v>
      </c>
      <c r="G77" s="168">
        <v>3937.04</v>
      </c>
      <c r="H77" s="169"/>
      <c r="I77" s="168">
        <v>130.34</v>
      </c>
      <c r="J77" s="169"/>
      <c r="K77" s="168">
        <v>439.55</v>
      </c>
      <c r="L77" s="169"/>
      <c r="M77" s="168">
        <v>130.34</v>
      </c>
      <c r="N77" s="169"/>
      <c r="O77" s="168">
        <v>130.34</v>
      </c>
      <c r="P77" s="169"/>
      <c r="Q77" s="168">
        <v>130.34</v>
      </c>
      <c r="R77" s="169"/>
      <c r="S77" s="168">
        <v>130.34</v>
      </c>
      <c r="T77" s="169"/>
      <c r="U77" s="168">
        <v>130.34</v>
      </c>
      <c r="V77" s="169"/>
      <c r="W77" s="168">
        <v>130.34</v>
      </c>
      <c r="X77" s="169"/>
      <c r="Y77" s="168">
        <v>130.34</v>
      </c>
      <c r="Z77" s="169"/>
      <c r="AA77" s="168">
        <v>160.41999999999999</v>
      </c>
      <c r="AB77" s="169"/>
      <c r="AC77" s="168">
        <v>160.41999999999999</v>
      </c>
      <c r="AD77" s="169"/>
      <c r="AE77" s="180">
        <f t="shared" si="3"/>
        <v>5740.15</v>
      </c>
    </row>
    <row r="78" spans="1:32">
      <c r="A78" s="167"/>
      <c r="B78" s="167"/>
      <c r="C78" s="167"/>
      <c r="D78" s="167"/>
      <c r="E78" s="167"/>
      <c r="F78" s="167" t="s">
        <v>226</v>
      </c>
      <c r="G78" s="168">
        <v>1811.03</v>
      </c>
      <c r="H78" s="169"/>
      <c r="I78" s="168">
        <v>1669</v>
      </c>
      <c r="J78" s="169"/>
      <c r="K78" s="168">
        <v>2236.12</v>
      </c>
      <c r="L78" s="169"/>
      <c r="M78" s="168">
        <v>891.31</v>
      </c>
      <c r="N78" s="169"/>
      <c r="O78" s="168">
        <v>915.14</v>
      </c>
      <c r="P78" s="169"/>
      <c r="Q78" s="168">
        <v>820.94</v>
      </c>
      <c r="R78" s="169"/>
      <c r="S78" s="168">
        <v>818.2</v>
      </c>
      <c r="T78" s="169"/>
      <c r="U78" s="168">
        <v>888.88</v>
      </c>
      <c r="V78" s="169"/>
      <c r="W78" s="168">
        <v>962.56</v>
      </c>
      <c r="X78" s="169"/>
      <c r="Y78" s="168">
        <v>999.32</v>
      </c>
      <c r="Z78" s="169"/>
      <c r="AA78" s="168">
        <v>1039.21</v>
      </c>
      <c r="AB78" s="169"/>
      <c r="AC78" s="168">
        <v>1312.79</v>
      </c>
      <c r="AD78" s="169"/>
      <c r="AE78" s="180">
        <f t="shared" si="3"/>
        <v>14364.5</v>
      </c>
    </row>
    <row r="79" spans="1:32">
      <c r="A79" s="167"/>
      <c r="B79" s="167"/>
      <c r="C79" s="167"/>
      <c r="D79" s="167"/>
      <c r="E79" s="167"/>
      <c r="F79" s="167" t="s">
        <v>227</v>
      </c>
      <c r="G79" s="168">
        <v>0</v>
      </c>
      <c r="H79" s="169"/>
      <c r="I79" s="168">
        <v>0</v>
      </c>
      <c r="J79" s="169"/>
      <c r="K79" s="168">
        <v>0</v>
      </c>
      <c r="L79" s="169"/>
      <c r="M79" s="168">
        <v>0</v>
      </c>
      <c r="N79" s="169"/>
      <c r="O79" s="168">
        <v>0</v>
      </c>
      <c r="P79" s="169"/>
      <c r="Q79" s="168">
        <v>0</v>
      </c>
      <c r="R79" s="169"/>
      <c r="S79" s="168">
        <v>0</v>
      </c>
      <c r="T79" s="169"/>
      <c r="U79" s="168">
        <v>0</v>
      </c>
      <c r="V79" s="169"/>
      <c r="W79" s="168">
        <v>0</v>
      </c>
      <c r="X79" s="169"/>
      <c r="Y79" s="168">
        <v>0</v>
      </c>
      <c r="Z79" s="169"/>
      <c r="AA79" s="168">
        <v>0</v>
      </c>
      <c r="AB79" s="169"/>
      <c r="AC79" s="168">
        <v>0</v>
      </c>
      <c r="AD79" s="169"/>
      <c r="AE79" s="180">
        <f t="shared" si="3"/>
        <v>0</v>
      </c>
    </row>
    <row r="80" spans="1:32">
      <c r="A80" s="167"/>
      <c r="B80" s="167"/>
      <c r="C80" s="167"/>
      <c r="D80" s="167"/>
      <c r="E80" s="167"/>
      <c r="F80" s="167" t="s">
        <v>228</v>
      </c>
      <c r="G80" s="168">
        <v>0</v>
      </c>
      <c r="H80" s="169"/>
      <c r="I80" s="168">
        <v>105.68</v>
      </c>
      <c r="J80" s="169"/>
      <c r="K80" s="168">
        <v>51.53</v>
      </c>
      <c r="L80" s="169"/>
      <c r="M80" s="168">
        <v>57.09</v>
      </c>
      <c r="N80" s="169"/>
      <c r="O80" s="168">
        <v>168.14</v>
      </c>
      <c r="P80" s="169"/>
      <c r="Q80" s="168">
        <v>842.5</v>
      </c>
      <c r="R80" s="169"/>
      <c r="S80" s="168">
        <v>1182.25</v>
      </c>
      <c r="T80" s="169"/>
      <c r="U80" s="168">
        <v>1014</v>
      </c>
      <c r="V80" s="169"/>
      <c r="W80" s="168">
        <v>904.27</v>
      </c>
      <c r="X80" s="169"/>
      <c r="Y80" s="168">
        <v>387.39</v>
      </c>
      <c r="Z80" s="169"/>
      <c r="AA80" s="168">
        <v>140.6</v>
      </c>
      <c r="AB80" s="169"/>
      <c r="AC80" s="168">
        <v>55.36</v>
      </c>
      <c r="AD80" s="169"/>
      <c r="AE80" s="180">
        <f t="shared" si="3"/>
        <v>4908.8100000000004</v>
      </c>
    </row>
    <row r="81" spans="1:32">
      <c r="A81" s="167"/>
      <c r="B81" s="167"/>
      <c r="C81" s="167"/>
      <c r="D81" s="167"/>
      <c r="E81" s="167"/>
      <c r="F81" s="167" t="s">
        <v>229</v>
      </c>
      <c r="G81" s="168">
        <v>351.87</v>
      </c>
      <c r="H81" s="169"/>
      <c r="I81" s="168">
        <v>351.87</v>
      </c>
      <c r="J81" s="169"/>
      <c r="K81" s="168">
        <v>351.87</v>
      </c>
      <c r="L81" s="169"/>
      <c r="M81" s="168">
        <v>3503.1</v>
      </c>
      <c r="N81" s="169"/>
      <c r="O81" s="168">
        <v>748.3</v>
      </c>
      <c r="P81" s="169"/>
      <c r="Q81" s="168">
        <v>351.87</v>
      </c>
      <c r="R81" s="169"/>
      <c r="S81" s="168">
        <v>351.87</v>
      </c>
      <c r="T81" s="169"/>
      <c r="U81" s="168">
        <v>351.87</v>
      </c>
      <c r="V81" s="169"/>
      <c r="W81" s="168">
        <v>647.63</v>
      </c>
      <c r="X81" s="169"/>
      <c r="Y81" s="168">
        <v>351.87</v>
      </c>
      <c r="Z81" s="169"/>
      <c r="AA81" s="168">
        <v>351.87</v>
      </c>
      <c r="AB81" s="169"/>
      <c r="AC81" s="168">
        <v>351.87</v>
      </c>
      <c r="AD81" s="169"/>
      <c r="AE81" s="168">
        <f t="shared" si="3"/>
        <v>8065.86</v>
      </c>
      <c r="AF81" t="s">
        <v>283</v>
      </c>
    </row>
    <row r="82" spans="1:32">
      <c r="A82" s="167"/>
      <c r="B82" s="167"/>
      <c r="C82" s="167"/>
      <c r="D82" s="167"/>
      <c r="E82" s="167"/>
      <c r="F82" s="167" t="s">
        <v>230</v>
      </c>
      <c r="G82" s="168">
        <v>0</v>
      </c>
      <c r="H82" s="169"/>
      <c r="I82" s="168">
        <v>2868</v>
      </c>
      <c r="J82" s="169"/>
      <c r="K82" s="168">
        <v>5420</v>
      </c>
      <c r="L82" s="169"/>
      <c r="M82" s="168">
        <v>5149</v>
      </c>
      <c r="N82" s="169"/>
      <c r="O82" s="168">
        <v>5149</v>
      </c>
      <c r="P82" s="169"/>
      <c r="Q82" s="168">
        <v>3252</v>
      </c>
      <c r="R82" s="169"/>
      <c r="S82" s="168">
        <v>5419</v>
      </c>
      <c r="T82" s="169"/>
      <c r="U82" s="168">
        <v>4878</v>
      </c>
      <c r="V82" s="169"/>
      <c r="W82" s="168">
        <v>4607</v>
      </c>
      <c r="X82" s="169"/>
      <c r="Y82" s="168">
        <v>4878</v>
      </c>
      <c r="Z82" s="169"/>
      <c r="AA82" s="168">
        <v>5962</v>
      </c>
      <c r="AB82" s="169"/>
      <c r="AC82" s="168">
        <v>4065</v>
      </c>
      <c r="AD82" s="169"/>
      <c r="AE82" s="168">
        <f t="shared" si="3"/>
        <v>51647</v>
      </c>
    </row>
    <row r="83" spans="1:32">
      <c r="A83" s="167"/>
      <c r="B83" s="167"/>
      <c r="C83" s="167"/>
      <c r="D83" s="167"/>
      <c r="E83" s="167"/>
      <c r="F83" s="167" t="s">
        <v>231</v>
      </c>
      <c r="G83" s="168">
        <v>2580</v>
      </c>
      <c r="H83" s="169"/>
      <c r="I83" s="168">
        <v>-1980</v>
      </c>
      <c r="J83" s="169"/>
      <c r="K83" s="168">
        <v>5200</v>
      </c>
      <c r="L83" s="169"/>
      <c r="M83" s="168">
        <v>2185</v>
      </c>
      <c r="N83" s="169"/>
      <c r="O83" s="168">
        <v>3360</v>
      </c>
      <c r="P83" s="169"/>
      <c r="Q83" s="168">
        <v>2640</v>
      </c>
      <c r="R83" s="169"/>
      <c r="S83" s="168">
        <v>5130</v>
      </c>
      <c r="T83" s="169"/>
      <c r="U83" s="168">
        <v>0</v>
      </c>
      <c r="V83" s="169"/>
      <c r="W83" s="168">
        <v>-100</v>
      </c>
      <c r="X83" s="169"/>
      <c r="Y83" s="168">
        <v>990</v>
      </c>
      <c r="Z83" s="169"/>
      <c r="AA83" s="168">
        <v>0</v>
      </c>
      <c r="AB83" s="169"/>
      <c r="AC83" s="168">
        <v>2610</v>
      </c>
      <c r="AD83" s="169"/>
      <c r="AE83" s="168">
        <f t="shared" si="3"/>
        <v>22615</v>
      </c>
    </row>
    <row r="84" spans="1:32" ht="15" thickBot="1">
      <c r="A84" s="167"/>
      <c r="B84" s="167"/>
      <c r="C84" s="167"/>
      <c r="D84" s="167"/>
      <c r="E84" s="167"/>
      <c r="F84" s="167" t="s">
        <v>284</v>
      </c>
      <c r="G84" s="170">
        <v>0</v>
      </c>
      <c r="H84" s="169"/>
      <c r="I84" s="170">
        <v>0</v>
      </c>
      <c r="J84" s="169"/>
      <c r="K84" s="170">
        <v>525</v>
      </c>
      <c r="L84" s="169"/>
      <c r="M84" s="170">
        <v>150</v>
      </c>
      <c r="N84" s="169"/>
      <c r="O84" s="170">
        <v>3000</v>
      </c>
      <c r="P84" s="169"/>
      <c r="Q84" s="170">
        <v>0</v>
      </c>
      <c r="R84" s="169"/>
      <c r="S84" s="170">
        <v>0</v>
      </c>
      <c r="T84" s="169"/>
      <c r="U84" s="170">
        <v>100</v>
      </c>
      <c r="V84" s="169"/>
      <c r="W84" s="170">
        <v>0</v>
      </c>
      <c r="X84" s="169"/>
      <c r="Y84" s="170">
        <v>0</v>
      </c>
      <c r="Z84" s="169"/>
      <c r="AA84" s="170">
        <v>9873.76</v>
      </c>
      <c r="AB84" s="169"/>
      <c r="AC84" s="170">
        <v>0</v>
      </c>
      <c r="AD84" s="169"/>
      <c r="AE84" s="170">
        <f t="shared" si="3"/>
        <v>13648.76</v>
      </c>
    </row>
    <row r="85" spans="1:32">
      <c r="A85" s="167"/>
      <c r="B85" s="167"/>
      <c r="C85" s="167"/>
      <c r="D85" s="167"/>
      <c r="E85" s="167" t="s">
        <v>232</v>
      </c>
      <c r="F85" s="167"/>
      <c r="G85" s="168">
        <f>ROUND(SUM(G48:G84),5)</f>
        <v>79366.820000000007</v>
      </c>
      <c r="H85" s="169"/>
      <c r="I85" s="168">
        <f>ROUND(SUM(I48:I84),5)</f>
        <v>84261.08</v>
      </c>
      <c r="J85" s="169"/>
      <c r="K85" s="168">
        <f>ROUND(SUM(K48:K84),5)</f>
        <v>100544.74</v>
      </c>
      <c r="L85" s="169"/>
      <c r="M85" s="168">
        <f>ROUND(SUM(M48:M84),5)</f>
        <v>92104.36</v>
      </c>
      <c r="N85" s="169"/>
      <c r="O85" s="168">
        <f>ROUND(SUM(O48:O84),5)</f>
        <v>99337.88</v>
      </c>
      <c r="P85" s="169"/>
      <c r="Q85" s="168">
        <f>ROUND(SUM(Q48:Q84),5)</f>
        <v>81043.37</v>
      </c>
      <c r="R85" s="169"/>
      <c r="S85" s="168">
        <f>ROUND(SUM(S48:S84),5)</f>
        <v>119551.39</v>
      </c>
      <c r="T85" s="169"/>
      <c r="U85" s="168">
        <f>ROUND(SUM(U48:U84),5)</f>
        <v>105299.53</v>
      </c>
      <c r="V85" s="169"/>
      <c r="W85" s="168">
        <f>ROUND(SUM(W48:W84),5)</f>
        <v>107013.42</v>
      </c>
      <c r="X85" s="169"/>
      <c r="Y85" s="168">
        <f>ROUND(SUM(Y48:Y84),5)</f>
        <v>103481.44</v>
      </c>
      <c r="Z85" s="169"/>
      <c r="AA85" s="168">
        <f>ROUND(SUM(AA48:AA84),5)</f>
        <v>143373.73000000001</v>
      </c>
      <c r="AB85" s="169"/>
      <c r="AC85" s="168">
        <f>ROUND(SUM(AC48:AC84),5)</f>
        <v>105381.32</v>
      </c>
      <c r="AD85" s="169"/>
      <c r="AE85" s="168">
        <f t="shared" si="3"/>
        <v>1220759.08</v>
      </c>
    </row>
    <row r="86" spans="1:32">
      <c r="A86" s="167"/>
      <c r="B86" s="167"/>
      <c r="C86" s="167"/>
      <c r="D86" s="167"/>
      <c r="E86" s="167" t="s">
        <v>233</v>
      </c>
      <c r="F86" s="167"/>
      <c r="G86" s="168"/>
      <c r="H86" s="169"/>
      <c r="I86" s="168"/>
      <c r="J86" s="169"/>
      <c r="K86" s="168"/>
      <c r="L86" s="169"/>
      <c r="M86" s="168"/>
      <c r="N86" s="169"/>
      <c r="O86" s="168"/>
      <c r="P86" s="169"/>
      <c r="Q86" s="168"/>
      <c r="R86" s="169"/>
      <c r="S86" s="168"/>
      <c r="T86" s="169"/>
      <c r="U86" s="168"/>
      <c r="V86" s="169"/>
      <c r="W86" s="168"/>
      <c r="X86" s="169"/>
      <c r="Y86" s="168"/>
      <c r="Z86" s="169"/>
      <c r="AA86" s="168"/>
      <c r="AB86" s="169"/>
      <c r="AC86" s="168"/>
      <c r="AD86" s="169"/>
      <c r="AE86" s="168"/>
    </row>
    <row r="87" spans="1:32">
      <c r="A87" s="167"/>
      <c r="B87" s="167"/>
      <c r="C87" s="167"/>
      <c r="D87" s="167"/>
      <c r="E87" s="167"/>
      <c r="F87" s="167" t="s">
        <v>234</v>
      </c>
      <c r="G87" s="168">
        <v>2000</v>
      </c>
      <c r="H87" s="169"/>
      <c r="I87" s="168">
        <v>277.2</v>
      </c>
      <c r="J87" s="169"/>
      <c r="K87" s="168">
        <v>45166.06</v>
      </c>
      <c r="L87" s="169"/>
      <c r="M87" s="168">
        <v>4727.96</v>
      </c>
      <c r="N87" s="169"/>
      <c r="O87" s="168">
        <v>478</v>
      </c>
      <c r="P87" s="169"/>
      <c r="Q87" s="168">
        <v>4280</v>
      </c>
      <c r="R87" s="169"/>
      <c r="S87" s="168">
        <v>31554.17</v>
      </c>
      <c r="T87" s="169"/>
      <c r="U87" s="168">
        <v>9406.39</v>
      </c>
      <c r="V87" s="169"/>
      <c r="W87" s="168">
        <v>1306.95</v>
      </c>
      <c r="X87" s="169"/>
      <c r="Y87" s="168">
        <v>3552.94</v>
      </c>
      <c r="Z87" s="169"/>
      <c r="AA87" s="168">
        <v>498</v>
      </c>
      <c r="AB87" s="169"/>
      <c r="AC87" s="168">
        <v>1358</v>
      </c>
      <c r="AD87" s="169"/>
      <c r="AE87" s="168">
        <f t="shared" ref="AE87:AE100" si="4">ROUND(SUM(G87:AC87),5)</f>
        <v>104605.67</v>
      </c>
    </row>
    <row r="88" spans="1:32">
      <c r="A88" s="167"/>
      <c r="B88" s="167"/>
      <c r="C88" s="167"/>
      <c r="D88" s="167"/>
      <c r="E88" s="167"/>
      <c r="F88" s="167" t="s">
        <v>235</v>
      </c>
      <c r="G88" s="168">
        <v>352.42</v>
      </c>
      <c r="H88" s="169"/>
      <c r="I88" s="168">
        <v>2210.5300000000002</v>
      </c>
      <c r="J88" s="169"/>
      <c r="K88" s="168">
        <v>615.24</v>
      </c>
      <c r="L88" s="169"/>
      <c r="M88" s="168">
        <v>1391.36</v>
      </c>
      <c r="N88" s="169"/>
      <c r="O88" s="168">
        <v>14.5</v>
      </c>
      <c r="P88" s="169"/>
      <c r="Q88" s="168">
        <v>951.93</v>
      </c>
      <c r="R88" s="169"/>
      <c r="S88" s="168">
        <v>1244.0999999999999</v>
      </c>
      <c r="T88" s="169"/>
      <c r="U88" s="168">
        <v>3698.97</v>
      </c>
      <c r="V88" s="169"/>
      <c r="W88" s="168">
        <v>1175.5999999999999</v>
      </c>
      <c r="X88" s="169"/>
      <c r="Y88" s="168">
        <v>1082.42</v>
      </c>
      <c r="Z88" s="169"/>
      <c r="AA88" s="168">
        <v>1412.06</v>
      </c>
      <c r="AB88" s="169"/>
      <c r="AC88" s="168">
        <v>1190.81</v>
      </c>
      <c r="AD88" s="169"/>
      <c r="AE88" s="168">
        <f t="shared" si="4"/>
        <v>15339.94</v>
      </c>
    </row>
    <row r="89" spans="1:32">
      <c r="A89" s="167"/>
      <c r="B89" s="167"/>
      <c r="C89" s="167"/>
      <c r="D89" s="167"/>
      <c r="E89" s="167"/>
      <c r="F89" s="167" t="s">
        <v>236</v>
      </c>
      <c r="G89" s="168">
        <v>277.88</v>
      </c>
      <c r="H89" s="169"/>
      <c r="I89" s="168">
        <v>239.13</v>
      </c>
      <c r="J89" s="169"/>
      <c r="K89" s="168">
        <v>1200.29</v>
      </c>
      <c r="L89" s="169"/>
      <c r="M89" s="168">
        <v>1136.1300000000001</v>
      </c>
      <c r="N89" s="169"/>
      <c r="O89" s="168">
        <v>823.89</v>
      </c>
      <c r="P89" s="169"/>
      <c r="Q89" s="168">
        <v>380.21</v>
      </c>
      <c r="R89" s="169"/>
      <c r="S89" s="168">
        <v>768.55</v>
      </c>
      <c r="T89" s="169"/>
      <c r="U89" s="168">
        <v>751.1</v>
      </c>
      <c r="V89" s="169"/>
      <c r="W89" s="168">
        <v>729.22</v>
      </c>
      <c r="X89" s="169"/>
      <c r="Y89" s="168">
        <v>909.5</v>
      </c>
      <c r="Z89" s="169"/>
      <c r="AA89" s="168">
        <v>3480.52</v>
      </c>
      <c r="AB89" s="169"/>
      <c r="AC89" s="168">
        <v>767.11</v>
      </c>
      <c r="AD89" s="169"/>
      <c r="AE89" s="168">
        <f t="shared" si="4"/>
        <v>11463.53</v>
      </c>
    </row>
    <row r="90" spans="1:32">
      <c r="A90" s="167"/>
      <c r="B90" s="167"/>
      <c r="C90" s="167"/>
      <c r="D90" s="167"/>
      <c r="E90" s="167"/>
      <c r="F90" s="167" t="s">
        <v>237</v>
      </c>
      <c r="G90" s="168">
        <v>222.6</v>
      </c>
      <c r="H90" s="169"/>
      <c r="I90" s="168">
        <v>159</v>
      </c>
      <c r="J90" s="169"/>
      <c r="K90" s="168">
        <v>159</v>
      </c>
      <c r="L90" s="169"/>
      <c r="M90" s="168">
        <v>159</v>
      </c>
      <c r="N90" s="169"/>
      <c r="O90" s="168">
        <v>0</v>
      </c>
      <c r="P90" s="169"/>
      <c r="Q90" s="168">
        <v>0</v>
      </c>
      <c r="R90" s="169"/>
      <c r="S90" s="168">
        <v>0</v>
      </c>
      <c r="T90" s="169"/>
      <c r="U90" s="168">
        <v>0</v>
      </c>
      <c r="V90" s="169"/>
      <c r="W90" s="168">
        <v>0</v>
      </c>
      <c r="X90" s="169"/>
      <c r="Y90" s="168">
        <v>0</v>
      </c>
      <c r="Z90" s="169"/>
      <c r="AA90" s="168">
        <v>0</v>
      </c>
      <c r="AB90" s="169"/>
      <c r="AC90" s="168">
        <v>0</v>
      </c>
      <c r="AD90" s="169"/>
      <c r="AE90" s="168">
        <f t="shared" si="4"/>
        <v>699.6</v>
      </c>
    </row>
    <row r="91" spans="1:32">
      <c r="A91" s="167"/>
      <c r="B91" s="167"/>
      <c r="C91" s="167"/>
      <c r="D91" s="167"/>
      <c r="E91" s="167"/>
      <c r="F91" s="167" t="s">
        <v>238</v>
      </c>
      <c r="G91" s="168">
        <v>0</v>
      </c>
      <c r="H91" s="169"/>
      <c r="I91" s="168">
        <v>0</v>
      </c>
      <c r="J91" s="169"/>
      <c r="K91" s="168">
        <v>0</v>
      </c>
      <c r="L91" s="169"/>
      <c r="M91" s="168">
        <v>674.73</v>
      </c>
      <c r="N91" s="169"/>
      <c r="O91" s="168">
        <v>0</v>
      </c>
      <c r="P91" s="169"/>
      <c r="Q91" s="168">
        <v>0</v>
      </c>
      <c r="R91" s="169"/>
      <c r="S91" s="168">
        <v>170.45</v>
      </c>
      <c r="T91" s="169"/>
      <c r="U91" s="168">
        <v>0</v>
      </c>
      <c r="V91" s="169"/>
      <c r="W91" s="168">
        <v>0</v>
      </c>
      <c r="X91" s="169"/>
      <c r="Y91" s="168">
        <v>87.31</v>
      </c>
      <c r="Z91" s="169"/>
      <c r="AA91" s="168">
        <v>1497</v>
      </c>
      <c r="AB91" s="169"/>
      <c r="AC91" s="168">
        <v>0</v>
      </c>
      <c r="AD91" s="169"/>
      <c r="AE91" s="168">
        <f t="shared" si="4"/>
        <v>2429.4899999999998</v>
      </c>
    </row>
    <row r="92" spans="1:32">
      <c r="A92" s="167"/>
      <c r="B92" s="167"/>
      <c r="C92" s="167"/>
      <c r="D92" s="167"/>
      <c r="E92" s="167"/>
      <c r="F92" s="167" t="s">
        <v>239</v>
      </c>
      <c r="G92" s="168">
        <v>50</v>
      </c>
      <c r="H92" s="169"/>
      <c r="I92" s="168">
        <v>50</v>
      </c>
      <c r="J92" s="169"/>
      <c r="K92" s="168">
        <v>50</v>
      </c>
      <c r="L92" s="169"/>
      <c r="M92" s="168">
        <v>50</v>
      </c>
      <c r="N92" s="169"/>
      <c r="O92" s="168">
        <v>52.25</v>
      </c>
      <c r="P92" s="169"/>
      <c r="Q92" s="168">
        <v>52.25</v>
      </c>
      <c r="R92" s="169"/>
      <c r="S92" s="168">
        <v>52.25</v>
      </c>
      <c r="T92" s="169"/>
      <c r="U92" s="168">
        <v>311.39999999999998</v>
      </c>
      <c r="V92" s="169"/>
      <c r="W92" s="168">
        <v>55</v>
      </c>
      <c r="X92" s="169"/>
      <c r="Y92" s="168">
        <v>314.14999999999998</v>
      </c>
      <c r="Z92" s="169"/>
      <c r="AA92" s="168">
        <v>55</v>
      </c>
      <c r="AB92" s="169"/>
      <c r="AC92" s="168">
        <v>55</v>
      </c>
      <c r="AD92" s="169"/>
      <c r="AE92" s="168">
        <f t="shared" si="4"/>
        <v>1147.3</v>
      </c>
    </row>
    <row r="93" spans="1:32">
      <c r="A93" s="167"/>
      <c r="B93" s="167"/>
      <c r="C93" s="167"/>
      <c r="D93" s="167"/>
      <c r="E93" s="167"/>
      <c r="F93" s="167" t="s">
        <v>240</v>
      </c>
      <c r="G93" s="168">
        <v>0</v>
      </c>
      <c r="H93" s="169"/>
      <c r="I93" s="168">
        <v>128.91</v>
      </c>
      <c r="J93" s="169"/>
      <c r="K93" s="168">
        <v>992.36</v>
      </c>
      <c r="L93" s="169"/>
      <c r="M93" s="168">
        <v>0</v>
      </c>
      <c r="N93" s="169"/>
      <c r="O93" s="168">
        <v>337.76</v>
      </c>
      <c r="P93" s="169"/>
      <c r="Q93" s="168">
        <v>0</v>
      </c>
      <c r="R93" s="169"/>
      <c r="S93" s="168">
        <v>0</v>
      </c>
      <c r="T93" s="169"/>
      <c r="U93" s="168">
        <v>0</v>
      </c>
      <c r="V93" s="169"/>
      <c r="W93" s="168">
        <v>28</v>
      </c>
      <c r="X93" s="169"/>
      <c r="Y93" s="168">
        <v>0</v>
      </c>
      <c r="Z93" s="169"/>
      <c r="AA93" s="168">
        <v>170.7</v>
      </c>
      <c r="AB93" s="169"/>
      <c r="AC93" s="168">
        <v>0</v>
      </c>
      <c r="AD93" s="169"/>
      <c r="AE93" s="168">
        <f t="shared" si="4"/>
        <v>1657.73</v>
      </c>
    </row>
    <row r="94" spans="1:32">
      <c r="A94" s="167"/>
      <c r="B94" s="167"/>
      <c r="C94" s="167"/>
      <c r="D94" s="167"/>
      <c r="E94" s="167"/>
      <c r="F94" s="167" t="s">
        <v>285</v>
      </c>
      <c r="G94" s="168">
        <v>0</v>
      </c>
      <c r="H94" s="169"/>
      <c r="I94" s="168">
        <v>0</v>
      </c>
      <c r="J94" s="169"/>
      <c r="K94" s="168">
        <v>0</v>
      </c>
      <c r="L94" s="169"/>
      <c r="M94" s="168">
        <v>0</v>
      </c>
      <c r="N94" s="169"/>
      <c r="O94" s="168">
        <v>0</v>
      </c>
      <c r="P94" s="169"/>
      <c r="Q94" s="168">
        <v>0</v>
      </c>
      <c r="R94" s="169"/>
      <c r="S94" s="168">
        <v>33.44</v>
      </c>
      <c r="T94" s="169"/>
      <c r="U94" s="168">
        <v>0</v>
      </c>
      <c r="V94" s="169"/>
      <c r="W94" s="168">
        <v>0</v>
      </c>
      <c r="X94" s="169"/>
      <c r="Y94" s="168">
        <v>0</v>
      </c>
      <c r="Z94" s="169"/>
      <c r="AA94" s="168">
        <v>137.38999999999999</v>
      </c>
      <c r="AB94" s="169"/>
      <c r="AC94" s="168">
        <v>0</v>
      </c>
      <c r="AD94" s="169"/>
      <c r="AE94" s="168">
        <f t="shared" si="4"/>
        <v>170.83</v>
      </c>
    </row>
    <row r="95" spans="1:32">
      <c r="A95" s="167"/>
      <c r="B95" s="167"/>
      <c r="C95" s="167"/>
      <c r="D95" s="167"/>
      <c r="E95" s="167"/>
      <c r="F95" s="167" t="s">
        <v>241</v>
      </c>
      <c r="G95" s="168">
        <v>0</v>
      </c>
      <c r="H95" s="169"/>
      <c r="I95" s="168">
        <v>0</v>
      </c>
      <c r="J95" s="169"/>
      <c r="K95" s="168">
        <v>0</v>
      </c>
      <c r="L95" s="169"/>
      <c r="M95" s="168">
        <v>133.59</v>
      </c>
      <c r="N95" s="169"/>
      <c r="O95" s="168">
        <v>39.46</v>
      </c>
      <c r="P95" s="169"/>
      <c r="Q95" s="168">
        <v>0</v>
      </c>
      <c r="R95" s="169"/>
      <c r="S95" s="168">
        <v>0</v>
      </c>
      <c r="T95" s="169"/>
      <c r="U95" s="168">
        <v>10.15</v>
      </c>
      <c r="V95" s="169"/>
      <c r="W95" s="168">
        <v>625.07000000000005</v>
      </c>
      <c r="X95" s="169"/>
      <c r="Y95" s="168">
        <v>138.34</v>
      </c>
      <c r="Z95" s="169"/>
      <c r="AA95" s="168">
        <v>50.25</v>
      </c>
      <c r="AB95" s="169"/>
      <c r="AC95" s="168">
        <v>0</v>
      </c>
      <c r="AD95" s="169"/>
      <c r="AE95" s="168">
        <f t="shared" si="4"/>
        <v>996.86</v>
      </c>
    </row>
    <row r="96" spans="1:32">
      <c r="A96" s="167"/>
      <c r="B96" s="167"/>
      <c r="C96" s="167"/>
      <c r="D96" s="167"/>
      <c r="E96" s="167"/>
      <c r="F96" s="167" t="s">
        <v>242</v>
      </c>
      <c r="G96" s="168">
        <v>61.96</v>
      </c>
      <c r="H96" s="169"/>
      <c r="I96" s="168">
        <v>61.96</v>
      </c>
      <c r="J96" s="169"/>
      <c r="K96" s="168">
        <v>917.38</v>
      </c>
      <c r="L96" s="169"/>
      <c r="M96" s="168">
        <v>342.5</v>
      </c>
      <c r="N96" s="169"/>
      <c r="O96" s="168">
        <v>272.56</v>
      </c>
      <c r="P96" s="169"/>
      <c r="Q96" s="168">
        <v>136.28</v>
      </c>
      <c r="R96" s="169"/>
      <c r="S96" s="168">
        <v>341.71</v>
      </c>
      <c r="T96" s="169"/>
      <c r="U96" s="168">
        <v>434.51</v>
      </c>
      <c r="V96" s="169"/>
      <c r="W96" s="168">
        <v>218.26</v>
      </c>
      <c r="X96" s="169"/>
      <c r="Y96" s="168">
        <v>272.56</v>
      </c>
      <c r="Z96" s="169"/>
      <c r="AA96" s="168">
        <v>340.7</v>
      </c>
      <c r="AB96" s="169"/>
      <c r="AC96" s="168">
        <v>501.59</v>
      </c>
      <c r="AD96" s="169"/>
      <c r="AE96" s="168">
        <f t="shared" si="4"/>
        <v>3901.97</v>
      </c>
    </row>
    <row r="97" spans="1:33">
      <c r="A97" s="167"/>
      <c r="B97" s="167"/>
      <c r="C97" s="167"/>
      <c r="D97" s="167"/>
      <c r="E97" s="167"/>
      <c r="F97" s="167" t="s">
        <v>286</v>
      </c>
      <c r="G97" s="168">
        <v>5359</v>
      </c>
      <c r="H97" s="169"/>
      <c r="I97" s="168">
        <v>0</v>
      </c>
      <c r="J97" s="169"/>
      <c r="K97" s="168">
        <v>4271.2</v>
      </c>
      <c r="L97" s="169"/>
      <c r="M97" s="168">
        <v>1986.72</v>
      </c>
      <c r="N97" s="169"/>
      <c r="O97" s="168">
        <v>0</v>
      </c>
      <c r="P97" s="169"/>
      <c r="Q97" s="168">
        <v>0</v>
      </c>
      <c r="R97" s="169"/>
      <c r="S97" s="168">
        <v>0</v>
      </c>
      <c r="T97" s="169"/>
      <c r="U97" s="168">
        <v>0</v>
      </c>
      <c r="V97" s="169"/>
      <c r="W97" s="168">
        <v>349.99</v>
      </c>
      <c r="X97" s="169"/>
      <c r="Y97" s="168">
        <v>1937.5</v>
      </c>
      <c r="Z97" s="169"/>
      <c r="AA97" s="168">
        <v>2995</v>
      </c>
      <c r="AB97" s="169"/>
      <c r="AC97" s="168">
        <v>0</v>
      </c>
      <c r="AD97" s="169"/>
      <c r="AE97" s="168">
        <f t="shared" si="4"/>
        <v>16899.41</v>
      </c>
    </row>
    <row r="98" spans="1:33">
      <c r="A98" s="167"/>
      <c r="B98" s="167"/>
      <c r="C98" s="167"/>
      <c r="D98" s="167"/>
      <c r="E98" s="167"/>
      <c r="F98" s="167" t="s">
        <v>244</v>
      </c>
      <c r="G98" s="168">
        <v>0</v>
      </c>
      <c r="H98" s="169"/>
      <c r="I98" s="168">
        <v>0</v>
      </c>
      <c r="J98" s="169"/>
      <c r="K98" s="168">
        <v>42.97</v>
      </c>
      <c r="L98" s="169"/>
      <c r="M98" s="168">
        <v>0</v>
      </c>
      <c r="N98" s="169"/>
      <c r="O98" s="168">
        <v>66.69</v>
      </c>
      <c r="P98" s="169"/>
      <c r="Q98" s="168">
        <v>0</v>
      </c>
      <c r="R98" s="169"/>
      <c r="S98" s="168">
        <v>0</v>
      </c>
      <c r="T98" s="169"/>
      <c r="U98" s="168">
        <v>0</v>
      </c>
      <c r="V98" s="169"/>
      <c r="W98" s="168">
        <v>58.98</v>
      </c>
      <c r="X98" s="169"/>
      <c r="Y98" s="168">
        <v>50</v>
      </c>
      <c r="Z98" s="169"/>
      <c r="AA98" s="168">
        <v>61.52</v>
      </c>
      <c r="AB98" s="169"/>
      <c r="AC98" s="168">
        <v>162.62</v>
      </c>
      <c r="AD98" s="169"/>
      <c r="AE98" s="168">
        <f t="shared" si="4"/>
        <v>442.78</v>
      </c>
    </row>
    <row r="99" spans="1:33" ht="15" thickBot="1">
      <c r="A99" s="167"/>
      <c r="B99" s="167"/>
      <c r="C99" s="167"/>
      <c r="D99" s="167"/>
      <c r="E99" s="167"/>
      <c r="F99" s="167" t="s">
        <v>247</v>
      </c>
      <c r="G99" s="170">
        <v>0</v>
      </c>
      <c r="H99" s="169"/>
      <c r="I99" s="170">
        <v>0</v>
      </c>
      <c r="J99" s="169"/>
      <c r="K99" s="170">
        <v>0</v>
      </c>
      <c r="L99" s="169"/>
      <c r="M99" s="170">
        <v>0</v>
      </c>
      <c r="N99" s="169"/>
      <c r="O99" s="170">
        <v>0</v>
      </c>
      <c r="P99" s="169"/>
      <c r="Q99" s="170">
        <v>442.55</v>
      </c>
      <c r="R99" s="169"/>
      <c r="S99" s="170">
        <v>0</v>
      </c>
      <c r="T99" s="169"/>
      <c r="U99" s="170">
        <v>39.81</v>
      </c>
      <c r="V99" s="169"/>
      <c r="W99" s="170">
        <v>75.790000000000006</v>
      </c>
      <c r="X99" s="169"/>
      <c r="Y99" s="170">
        <v>880</v>
      </c>
      <c r="Z99" s="169"/>
      <c r="AA99" s="170">
        <v>0</v>
      </c>
      <c r="AB99" s="169"/>
      <c r="AC99" s="170">
        <v>1325.42</v>
      </c>
      <c r="AD99" s="169"/>
      <c r="AE99" s="170">
        <f t="shared" si="4"/>
        <v>2763.57</v>
      </c>
    </row>
    <row r="100" spans="1:33">
      <c r="A100" s="167"/>
      <c r="B100" s="167"/>
      <c r="C100" s="167"/>
      <c r="D100" s="167"/>
      <c r="E100" s="167" t="s">
        <v>248</v>
      </c>
      <c r="F100" s="167"/>
      <c r="G100" s="168">
        <f>ROUND(SUM(G86:G99),5)</f>
        <v>8323.86</v>
      </c>
      <c r="H100" s="169"/>
      <c r="I100" s="168">
        <f>ROUND(SUM(I86:I99),5)</f>
        <v>3126.73</v>
      </c>
      <c r="J100" s="169"/>
      <c r="K100" s="168">
        <f>ROUND(SUM(K86:K99),5)</f>
        <v>53414.5</v>
      </c>
      <c r="L100" s="169"/>
      <c r="M100" s="168">
        <f>ROUND(SUM(M86:M99),5)</f>
        <v>10601.99</v>
      </c>
      <c r="N100" s="169"/>
      <c r="O100" s="168">
        <f>ROUND(SUM(O86:O99),5)</f>
        <v>2085.11</v>
      </c>
      <c r="P100" s="169"/>
      <c r="Q100" s="168">
        <f>ROUND(SUM(Q86:Q99),5)</f>
        <v>6243.22</v>
      </c>
      <c r="R100" s="169"/>
      <c r="S100" s="168">
        <f>ROUND(SUM(S86:S99),5)</f>
        <v>34164.67</v>
      </c>
      <c r="T100" s="169"/>
      <c r="U100" s="168">
        <f>ROUND(SUM(U86:U99),5)</f>
        <v>14652.33</v>
      </c>
      <c r="V100" s="169"/>
      <c r="W100" s="168">
        <f>ROUND(SUM(W86:W99),5)</f>
        <v>4622.8599999999997</v>
      </c>
      <c r="X100" s="169"/>
      <c r="Y100" s="168">
        <f>ROUND(SUM(Y86:Y99),5)</f>
        <v>9224.7199999999993</v>
      </c>
      <c r="Z100" s="169"/>
      <c r="AA100" s="168">
        <f>ROUND(SUM(AA86:AA99),5)</f>
        <v>10698.14</v>
      </c>
      <c r="AB100" s="169"/>
      <c r="AC100" s="168">
        <f>ROUND(SUM(AC86:AC99),5)</f>
        <v>5360.55</v>
      </c>
      <c r="AD100" s="169"/>
      <c r="AE100" s="168">
        <f t="shared" si="4"/>
        <v>162518.68</v>
      </c>
    </row>
    <row r="101" spans="1:33">
      <c r="A101" s="167"/>
      <c r="B101" s="167"/>
      <c r="C101" s="167"/>
      <c r="D101" s="167"/>
      <c r="E101" s="167" t="s">
        <v>252</v>
      </c>
      <c r="F101" s="167"/>
      <c r="G101" s="168"/>
      <c r="H101" s="169"/>
      <c r="I101" s="168"/>
      <c r="J101" s="169"/>
      <c r="K101" s="168"/>
      <c r="L101" s="169"/>
      <c r="M101" s="168"/>
      <c r="N101" s="169"/>
      <c r="O101" s="168"/>
      <c r="P101" s="169"/>
      <c r="Q101" s="168"/>
      <c r="R101" s="169"/>
      <c r="S101" s="168"/>
      <c r="T101" s="169"/>
      <c r="U101" s="168"/>
      <c r="V101" s="169"/>
      <c r="W101" s="168"/>
      <c r="X101" s="169"/>
      <c r="Y101" s="168"/>
      <c r="Z101" s="169"/>
      <c r="AA101" s="168"/>
      <c r="AB101" s="169"/>
      <c r="AC101" s="168"/>
      <c r="AD101" s="169"/>
      <c r="AE101" s="168"/>
    </row>
    <row r="102" spans="1:33">
      <c r="A102" s="167"/>
      <c r="B102" s="167"/>
      <c r="C102" s="167"/>
      <c r="D102" s="167"/>
      <c r="E102" s="167"/>
      <c r="F102" s="167" t="s">
        <v>253</v>
      </c>
      <c r="G102" s="168">
        <v>3020</v>
      </c>
      <c r="H102" s="169"/>
      <c r="I102" s="168">
        <v>0</v>
      </c>
      <c r="J102" s="169"/>
      <c r="K102" s="168">
        <v>0</v>
      </c>
      <c r="L102" s="169"/>
      <c r="M102" s="168">
        <v>0</v>
      </c>
      <c r="N102" s="169"/>
      <c r="O102" s="168">
        <v>0</v>
      </c>
      <c r="P102" s="169"/>
      <c r="Q102" s="168">
        <v>0</v>
      </c>
      <c r="R102" s="169"/>
      <c r="S102" s="168">
        <v>0</v>
      </c>
      <c r="T102" s="169"/>
      <c r="U102" s="168">
        <v>0</v>
      </c>
      <c r="V102" s="169"/>
      <c r="W102" s="168">
        <v>0</v>
      </c>
      <c r="X102" s="169"/>
      <c r="Y102" s="168">
        <v>0</v>
      </c>
      <c r="Z102" s="169"/>
      <c r="AA102" s="168">
        <v>0</v>
      </c>
      <c r="AB102" s="169"/>
      <c r="AC102" s="168">
        <v>0</v>
      </c>
      <c r="AD102" s="169"/>
      <c r="AE102" s="168">
        <f t="shared" ref="AE102:AE114" si="5">ROUND(SUM(G102:AC102),5)</f>
        <v>3020</v>
      </c>
    </row>
    <row r="103" spans="1:33">
      <c r="A103" s="167"/>
      <c r="B103" s="167"/>
      <c r="C103" s="167"/>
      <c r="D103" s="167"/>
      <c r="E103" s="167"/>
      <c r="F103" s="167" t="s">
        <v>254</v>
      </c>
      <c r="G103" s="168">
        <v>350</v>
      </c>
      <c r="H103" s="169"/>
      <c r="I103" s="168">
        <v>858.5</v>
      </c>
      <c r="J103" s="169"/>
      <c r="K103" s="168">
        <v>120</v>
      </c>
      <c r="L103" s="169"/>
      <c r="M103" s="168">
        <v>0</v>
      </c>
      <c r="N103" s="169"/>
      <c r="O103" s="168">
        <v>0</v>
      </c>
      <c r="P103" s="169"/>
      <c r="Q103" s="168">
        <v>0</v>
      </c>
      <c r="R103" s="169"/>
      <c r="S103" s="168">
        <v>0</v>
      </c>
      <c r="T103" s="169"/>
      <c r="U103" s="168">
        <v>121</v>
      </c>
      <c r="V103" s="169"/>
      <c r="W103" s="168">
        <v>0</v>
      </c>
      <c r="X103" s="169"/>
      <c r="Y103" s="168">
        <v>0</v>
      </c>
      <c r="Z103" s="169"/>
      <c r="AA103" s="168">
        <v>0</v>
      </c>
      <c r="AB103" s="169"/>
      <c r="AC103" s="168">
        <v>0</v>
      </c>
      <c r="AD103" s="169"/>
      <c r="AE103" s="168">
        <f t="shared" si="5"/>
        <v>1449.5</v>
      </c>
    </row>
    <row r="104" spans="1:33">
      <c r="A104" s="167"/>
      <c r="B104" s="167"/>
      <c r="C104" s="167"/>
      <c r="D104" s="167"/>
      <c r="E104" s="167"/>
      <c r="F104" s="167" t="s">
        <v>256</v>
      </c>
      <c r="G104" s="168">
        <v>95.02</v>
      </c>
      <c r="H104" s="169"/>
      <c r="I104" s="168">
        <v>80.45</v>
      </c>
      <c r="J104" s="169"/>
      <c r="K104" s="168">
        <v>87.8</v>
      </c>
      <c r="L104" s="169"/>
      <c r="M104" s="168">
        <v>89.47</v>
      </c>
      <c r="N104" s="169"/>
      <c r="O104" s="168">
        <v>89.91</v>
      </c>
      <c r="P104" s="169"/>
      <c r="Q104" s="168">
        <v>62.34</v>
      </c>
      <c r="R104" s="169"/>
      <c r="S104" s="168">
        <v>92.8</v>
      </c>
      <c r="T104" s="169"/>
      <c r="U104" s="168">
        <v>65.680000000000007</v>
      </c>
      <c r="V104" s="169"/>
      <c r="W104" s="168">
        <v>102.81</v>
      </c>
      <c r="X104" s="169"/>
      <c r="Y104" s="168">
        <v>92.91</v>
      </c>
      <c r="Z104" s="169"/>
      <c r="AA104" s="168">
        <v>92.69</v>
      </c>
      <c r="AB104" s="169"/>
      <c r="AC104" s="168">
        <v>107.25</v>
      </c>
      <c r="AD104" s="169"/>
      <c r="AE104" s="168">
        <f t="shared" si="5"/>
        <v>1059.1300000000001</v>
      </c>
    </row>
    <row r="105" spans="1:33">
      <c r="A105" s="167"/>
      <c r="B105" s="167"/>
      <c r="C105" s="167"/>
      <c r="D105" s="167"/>
      <c r="E105" s="167"/>
      <c r="F105" s="167" t="s">
        <v>257</v>
      </c>
      <c r="G105" s="168">
        <v>1004</v>
      </c>
      <c r="H105" s="169"/>
      <c r="I105" s="168">
        <v>4</v>
      </c>
      <c r="J105" s="169"/>
      <c r="K105" s="168">
        <v>0</v>
      </c>
      <c r="L105" s="169"/>
      <c r="M105" s="168">
        <v>0</v>
      </c>
      <c r="N105" s="169"/>
      <c r="O105" s="168">
        <v>0</v>
      </c>
      <c r="P105" s="169"/>
      <c r="Q105" s="168">
        <v>0</v>
      </c>
      <c r="R105" s="169"/>
      <c r="S105" s="168">
        <v>5.99</v>
      </c>
      <c r="T105" s="169"/>
      <c r="U105" s="168">
        <v>45.2</v>
      </c>
      <c r="V105" s="169"/>
      <c r="W105" s="168">
        <v>25</v>
      </c>
      <c r="X105" s="169"/>
      <c r="Y105" s="168">
        <v>1200</v>
      </c>
      <c r="Z105" s="169"/>
      <c r="AA105" s="168">
        <v>1191.45</v>
      </c>
      <c r="AB105" s="169"/>
      <c r="AC105" s="168">
        <v>1004</v>
      </c>
      <c r="AD105" s="169"/>
      <c r="AE105" s="168">
        <f t="shared" si="5"/>
        <v>4479.6400000000003</v>
      </c>
    </row>
    <row r="106" spans="1:33">
      <c r="A106" s="167"/>
      <c r="B106" s="167"/>
      <c r="C106" s="167"/>
      <c r="D106" s="167"/>
      <c r="E106" s="167"/>
      <c r="F106" s="167" t="s">
        <v>258</v>
      </c>
      <c r="G106" s="168">
        <v>574</v>
      </c>
      <c r="H106" s="169"/>
      <c r="I106" s="168">
        <v>10547</v>
      </c>
      <c r="J106" s="169"/>
      <c r="K106" s="168">
        <v>4479</v>
      </c>
      <c r="L106" s="169"/>
      <c r="M106" s="168">
        <v>0</v>
      </c>
      <c r="N106" s="169"/>
      <c r="O106" s="168">
        <v>0</v>
      </c>
      <c r="P106" s="169"/>
      <c r="Q106" s="168">
        <v>4479</v>
      </c>
      <c r="R106" s="169"/>
      <c r="S106" s="168">
        <v>0</v>
      </c>
      <c r="T106" s="169"/>
      <c r="U106" s="168">
        <v>0</v>
      </c>
      <c r="V106" s="169"/>
      <c r="W106" s="168">
        <v>4479</v>
      </c>
      <c r="X106" s="169"/>
      <c r="Y106" s="168">
        <v>0</v>
      </c>
      <c r="Z106" s="169"/>
      <c r="AA106" s="168">
        <v>0</v>
      </c>
      <c r="AB106" s="169"/>
      <c r="AC106" s="168">
        <v>555</v>
      </c>
      <c r="AD106" s="169"/>
      <c r="AE106" s="168">
        <f t="shared" si="5"/>
        <v>25113</v>
      </c>
    </row>
    <row r="107" spans="1:33">
      <c r="A107" s="167"/>
      <c r="B107" s="167"/>
      <c r="C107" s="167"/>
      <c r="D107" s="167"/>
      <c r="E107" s="167"/>
      <c r="F107" s="167" t="s">
        <v>259</v>
      </c>
      <c r="G107" s="168">
        <v>257</v>
      </c>
      <c r="H107" s="169"/>
      <c r="I107" s="168">
        <v>0</v>
      </c>
      <c r="J107" s="169"/>
      <c r="K107" s="168">
        <v>0</v>
      </c>
      <c r="L107" s="169"/>
      <c r="M107" s="168">
        <v>0</v>
      </c>
      <c r="N107" s="169"/>
      <c r="O107" s="168">
        <v>0</v>
      </c>
      <c r="P107" s="169"/>
      <c r="Q107" s="168">
        <v>0</v>
      </c>
      <c r="R107" s="169"/>
      <c r="S107" s="168">
        <v>0</v>
      </c>
      <c r="T107" s="169"/>
      <c r="U107" s="168">
        <v>0</v>
      </c>
      <c r="V107" s="169"/>
      <c r="W107" s="168">
        <v>0</v>
      </c>
      <c r="X107" s="169"/>
      <c r="Y107" s="168">
        <v>0</v>
      </c>
      <c r="Z107" s="169"/>
      <c r="AA107" s="168">
        <v>0</v>
      </c>
      <c r="AB107" s="169"/>
      <c r="AC107" s="168">
        <v>0</v>
      </c>
      <c r="AD107" s="169"/>
      <c r="AE107" s="168">
        <f t="shared" si="5"/>
        <v>257</v>
      </c>
    </row>
    <row r="108" spans="1:33">
      <c r="A108" s="167"/>
      <c r="B108" s="167"/>
      <c r="C108" s="167"/>
      <c r="D108" s="167"/>
      <c r="E108" s="167"/>
      <c r="F108" s="167" t="s">
        <v>260</v>
      </c>
      <c r="G108" s="168">
        <v>356.71</v>
      </c>
      <c r="H108" s="169"/>
      <c r="I108" s="168">
        <v>356.71</v>
      </c>
      <c r="J108" s="169"/>
      <c r="K108" s="168">
        <v>385.56</v>
      </c>
      <c r="L108" s="169"/>
      <c r="M108" s="168">
        <v>385.56</v>
      </c>
      <c r="N108" s="169"/>
      <c r="O108" s="168">
        <v>385.56</v>
      </c>
      <c r="P108" s="169"/>
      <c r="Q108" s="168">
        <v>385.56</v>
      </c>
      <c r="R108" s="169"/>
      <c r="S108" s="168">
        <v>415.78</v>
      </c>
      <c r="T108" s="169"/>
      <c r="U108" s="168">
        <v>415.78</v>
      </c>
      <c r="V108" s="169"/>
      <c r="W108" s="168">
        <v>415.78</v>
      </c>
      <c r="X108" s="169"/>
      <c r="Y108" s="168">
        <v>831.56</v>
      </c>
      <c r="Z108" s="169"/>
      <c r="AA108" s="168">
        <v>415.78</v>
      </c>
      <c r="AB108" s="169"/>
      <c r="AC108" s="168">
        <v>0</v>
      </c>
      <c r="AD108" s="169"/>
      <c r="AE108" s="168">
        <f t="shared" si="5"/>
        <v>4750.34</v>
      </c>
    </row>
    <row r="109" spans="1:33">
      <c r="A109" s="167"/>
      <c r="B109" s="167"/>
      <c r="C109" s="167"/>
      <c r="D109" s="167"/>
      <c r="E109" s="167"/>
      <c r="F109" s="167" t="s">
        <v>287</v>
      </c>
      <c r="G109" s="168">
        <v>0</v>
      </c>
      <c r="H109" s="169"/>
      <c r="I109" s="168">
        <v>0</v>
      </c>
      <c r="J109" s="169"/>
      <c r="K109" s="168">
        <v>0</v>
      </c>
      <c r="L109" s="169"/>
      <c r="M109" s="168">
        <v>0</v>
      </c>
      <c r="N109" s="169"/>
      <c r="O109" s="168">
        <v>0</v>
      </c>
      <c r="P109" s="169"/>
      <c r="Q109" s="168">
        <v>154.94999999999999</v>
      </c>
      <c r="R109" s="169"/>
      <c r="S109" s="168">
        <v>0</v>
      </c>
      <c r="T109" s="169"/>
      <c r="U109" s="168">
        <v>0</v>
      </c>
      <c r="V109" s="169"/>
      <c r="W109" s="168">
        <v>4410.37</v>
      </c>
      <c r="X109" s="169"/>
      <c r="Y109" s="168">
        <v>0</v>
      </c>
      <c r="Z109" s="169"/>
      <c r="AA109" s="168">
        <v>0</v>
      </c>
      <c r="AB109" s="169"/>
      <c r="AC109" s="168">
        <v>0</v>
      </c>
      <c r="AD109" s="169"/>
      <c r="AE109" s="168">
        <f t="shared" si="5"/>
        <v>4565.32</v>
      </c>
      <c r="AG109" s="183">
        <f>+AE85+AE106+AE107+AE108</f>
        <v>1250879.4200000002</v>
      </c>
    </row>
    <row r="110" spans="1:33" ht="15" thickBot="1">
      <c r="A110" s="167"/>
      <c r="B110" s="167"/>
      <c r="C110" s="167"/>
      <c r="D110" s="167"/>
      <c r="E110" s="167"/>
      <c r="F110" s="167" t="s">
        <v>288</v>
      </c>
      <c r="G110" s="168">
        <v>0</v>
      </c>
      <c r="H110" s="169"/>
      <c r="I110" s="168">
        <v>0</v>
      </c>
      <c r="J110" s="169"/>
      <c r="K110" s="168">
        <v>0</v>
      </c>
      <c r="L110" s="169"/>
      <c r="M110" s="168">
        <v>0</v>
      </c>
      <c r="N110" s="169"/>
      <c r="O110" s="168">
        <v>0</v>
      </c>
      <c r="P110" s="169"/>
      <c r="Q110" s="168">
        <v>444.44</v>
      </c>
      <c r="R110" s="169"/>
      <c r="S110" s="168">
        <v>0</v>
      </c>
      <c r="T110" s="169"/>
      <c r="U110" s="168">
        <v>0</v>
      </c>
      <c r="V110" s="169"/>
      <c r="W110" s="168">
        <v>0</v>
      </c>
      <c r="X110" s="169"/>
      <c r="Y110" s="168">
        <v>0</v>
      </c>
      <c r="Z110" s="169"/>
      <c r="AA110" s="168">
        <v>0</v>
      </c>
      <c r="AB110" s="169"/>
      <c r="AC110" s="168">
        <v>0</v>
      </c>
      <c r="AD110" s="169"/>
      <c r="AE110" s="168">
        <f t="shared" si="5"/>
        <v>444.44</v>
      </c>
    </row>
    <row r="111" spans="1:33" ht="15" thickBot="1">
      <c r="A111" s="167"/>
      <c r="B111" s="167"/>
      <c r="C111" s="167"/>
      <c r="D111" s="167"/>
      <c r="E111" s="167" t="s">
        <v>261</v>
      </c>
      <c r="F111" s="167"/>
      <c r="G111" s="172">
        <f>ROUND(SUM(G101:G110),5)</f>
        <v>5656.73</v>
      </c>
      <c r="H111" s="169"/>
      <c r="I111" s="172">
        <f>ROUND(SUM(I101:I110),5)</f>
        <v>11846.66</v>
      </c>
      <c r="J111" s="169"/>
      <c r="K111" s="172">
        <f>ROUND(SUM(K101:K110),5)</f>
        <v>5072.3599999999997</v>
      </c>
      <c r="L111" s="169"/>
      <c r="M111" s="172">
        <f>ROUND(SUM(M101:M110),5)</f>
        <v>475.03</v>
      </c>
      <c r="N111" s="169"/>
      <c r="O111" s="172">
        <f>ROUND(SUM(O101:O110),5)</f>
        <v>475.47</v>
      </c>
      <c r="P111" s="169"/>
      <c r="Q111" s="172">
        <f>ROUND(SUM(Q101:Q110),5)</f>
        <v>5526.29</v>
      </c>
      <c r="R111" s="169"/>
      <c r="S111" s="172">
        <f>ROUND(SUM(S101:S110),5)</f>
        <v>514.57000000000005</v>
      </c>
      <c r="T111" s="169"/>
      <c r="U111" s="172">
        <f>ROUND(SUM(U101:U110),5)</f>
        <v>647.66</v>
      </c>
      <c r="V111" s="169"/>
      <c r="W111" s="172">
        <f>ROUND(SUM(W101:W110),5)</f>
        <v>9432.9599999999991</v>
      </c>
      <c r="X111" s="169"/>
      <c r="Y111" s="172">
        <f>ROUND(SUM(Y101:Y110),5)</f>
        <v>2124.4699999999998</v>
      </c>
      <c r="Z111" s="169"/>
      <c r="AA111" s="172">
        <f>ROUND(SUM(AA101:AA110),5)</f>
        <v>1699.92</v>
      </c>
      <c r="AB111" s="169"/>
      <c r="AC111" s="172">
        <f>ROUND(SUM(AC101:AC110),5)</f>
        <v>1666.25</v>
      </c>
      <c r="AD111" s="169"/>
      <c r="AE111" s="172">
        <f t="shared" si="5"/>
        <v>45138.37</v>
      </c>
    </row>
    <row r="112" spans="1:33" ht="15" thickBot="1">
      <c r="A112" s="167"/>
      <c r="B112" s="167"/>
      <c r="C112" s="167"/>
      <c r="D112" s="167" t="s">
        <v>262</v>
      </c>
      <c r="E112" s="167"/>
      <c r="F112" s="167"/>
      <c r="G112" s="172">
        <f>ROUND(G27+G39+G47+G85+G100+G111,5)</f>
        <v>199791.05</v>
      </c>
      <c r="H112" s="169"/>
      <c r="I112" s="172">
        <f>ROUND(I27+I39+I47+I85+I100+I111,5)</f>
        <v>180413.58</v>
      </c>
      <c r="J112" s="169"/>
      <c r="K112" s="172">
        <f>ROUND(K27+K39+K47+K85+K100+K111,5)</f>
        <v>258882.12</v>
      </c>
      <c r="L112" s="169"/>
      <c r="M112" s="172">
        <f>ROUND(M27+M39+M47+M85+M100+M111,5)</f>
        <v>229479.04000000001</v>
      </c>
      <c r="N112" s="169"/>
      <c r="O112" s="172">
        <f>ROUND(O27+O39+O47+O85+O100+O111,5)</f>
        <v>201926.9</v>
      </c>
      <c r="P112" s="169"/>
      <c r="Q112" s="172">
        <f>ROUND(Q27+Q39+Q47+Q85+Q100+Q111,5)</f>
        <v>190960.08</v>
      </c>
      <c r="R112" s="169"/>
      <c r="S112" s="172">
        <f>ROUND(S27+S39+S47+S85+S100+S111,5)</f>
        <v>253461</v>
      </c>
      <c r="T112" s="169"/>
      <c r="U112" s="172">
        <f>ROUND(U27+U39+U47+U85+U100+U111,5)</f>
        <v>236598.83</v>
      </c>
      <c r="V112" s="169"/>
      <c r="W112" s="172">
        <f>ROUND(W27+W39+W47+W85+W100+W111,5)</f>
        <v>222826.3</v>
      </c>
      <c r="X112" s="169"/>
      <c r="Y112" s="172">
        <f>ROUND(Y27+Y39+Y47+Y85+Y100+Y111,5)</f>
        <v>207389.66</v>
      </c>
      <c r="Z112" s="169"/>
      <c r="AA112" s="172">
        <f>ROUND(AA27+AA39+AA47+AA85+AA100+AA111,5)</f>
        <v>257375.11</v>
      </c>
      <c r="AB112" s="169"/>
      <c r="AC112" s="172">
        <f>ROUND(AC27+AC39+AC47+AC85+AC100+AC111,5)</f>
        <v>214272.74</v>
      </c>
      <c r="AD112" s="169"/>
      <c r="AE112" s="172">
        <f t="shared" si="5"/>
        <v>2653376.41</v>
      </c>
    </row>
    <row r="113" spans="1:31" ht="15" thickBot="1">
      <c r="A113" s="167"/>
      <c r="B113" s="167" t="s">
        <v>263</v>
      </c>
      <c r="C113" s="167"/>
      <c r="D113" s="167"/>
      <c r="E113" s="167"/>
      <c r="F113" s="167"/>
      <c r="G113" s="172">
        <f>ROUND(G2+G26-G112,5)</f>
        <v>14040.71</v>
      </c>
      <c r="H113" s="169"/>
      <c r="I113" s="172">
        <f>ROUND(I2+I26-I112,5)</f>
        <v>35621</v>
      </c>
      <c r="J113" s="169"/>
      <c r="K113" s="172">
        <f>ROUND(K2+K26-K112,5)</f>
        <v>25758.69</v>
      </c>
      <c r="L113" s="169"/>
      <c r="M113" s="172">
        <f>ROUND(M2+M26-M112,5)</f>
        <v>23946.799999999999</v>
      </c>
      <c r="N113" s="169"/>
      <c r="O113" s="172">
        <f>ROUND(O2+O26-O112,5)</f>
        <v>65495.46</v>
      </c>
      <c r="P113" s="169"/>
      <c r="Q113" s="172">
        <f>ROUND(Q2+Q26-Q112,5)</f>
        <v>96286.51</v>
      </c>
      <c r="R113" s="169"/>
      <c r="S113" s="172">
        <f>ROUND(S2+S26-S112,5)</f>
        <v>-16410.77</v>
      </c>
      <c r="T113" s="169"/>
      <c r="U113" s="172">
        <f>ROUND(U2+U26-U112,5)</f>
        <v>34281.81</v>
      </c>
      <c r="V113" s="169"/>
      <c r="W113" s="172">
        <f>ROUND(W2+W26-W112,5)</f>
        <v>31773.23</v>
      </c>
      <c r="X113" s="169"/>
      <c r="Y113" s="172">
        <f>ROUND(Y2+Y26-Y112,5)</f>
        <v>40980.28</v>
      </c>
      <c r="Z113" s="169"/>
      <c r="AA113" s="172">
        <f>ROUND(AA2+AA26-AA112,5)</f>
        <v>13998.04</v>
      </c>
      <c r="AB113" s="169"/>
      <c r="AC113" s="172">
        <f>ROUND(AC2+AC26-AC112,5)</f>
        <v>53191.13</v>
      </c>
      <c r="AD113" s="169"/>
      <c r="AE113" s="172">
        <f t="shared" si="5"/>
        <v>418962.89</v>
      </c>
    </row>
    <row r="114" spans="1:31" s="174" customFormat="1" ht="10.9" thickBot="1">
      <c r="A114" s="167" t="s">
        <v>264</v>
      </c>
      <c r="B114" s="167"/>
      <c r="C114" s="167"/>
      <c r="D114" s="167"/>
      <c r="E114" s="167"/>
      <c r="F114" s="167"/>
      <c r="G114" s="173">
        <f>G113</f>
        <v>14040.71</v>
      </c>
      <c r="H114" s="167"/>
      <c r="I114" s="173">
        <f>I113</f>
        <v>35621</v>
      </c>
      <c r="J114" s="167"/>
      <c r="K114" s="173">
        <f>K113</f>
        <v>25758.69</v>
      </c>
      <c r="L114" s="167"/>
      <c r="M114" s="173">
        <f>M113</f>
        <v>23946.799999999999</v>
      </c>
      <c r="N114" s="167"/>
      <c r="O114" s="173">
        <f>O113</f>
        <v>65495.46</v>
      </c>
      <c r="P114" s="167"/>
      <c r="Q114" s="173">
        <f>Q113</f>
        <v>96286.51</v>
      </c>
      <c r="R114" s="167"/>
      <c r="S114" s="173">
        <f>S113</f>
        <v>-16410.77</v>
      </c>
      <c r="T114" s="167"/>
      <c r="U114" s="173">
        <f>U113</f>
        <v>34281.81</v>
      </c>
      <c r="V114" s="167"/>
      <c r="W114" s="173">
        <f>W113</f>
        <v>31773.23</v>
      </c>
      <c r="X114" s="167"/>
      <c r="Y114" s="173">
        <f>Y113</f>
        <v>40980.28</v>
      </c>
      <c r="Z114" s="167"/>
      <c r="AA114" s="173">
        <f>AA113</f>
        <v>13998.04</v>
      </c>
      <c r="AB114" s="167"/>
      <c r="AC114" s="173">
        <f>AC113</f>
        <v>53191.13</v>
      </c>
      <c r="AD114" s="167"/>
      <c r="AE114" s="173">
        <f t="shared" si="5"/>
        <v>418962.89</v>
      </c>
    </row>
    <row r="115" spans="1:31" ht="15" thickTop="1"/>
  </sheetData>
  <pageMargins left="0.7" right="0.7" top="0.75" bottom="0.75" header="0.1" footer="0.3"/>
  <pageSetup orientation="portrait" horizontalDpi="0" verticalDpi="0" r:id="rId1"/>
  <headerFooter>
    <oddHeader>&amp;L&amp;"Arial,Bold"&amp;8 3:55 PM
&amp;"Arial,Bold"&amp;8 10/05/23
&amp;"Arial,Bold"&amp;8 Accrual Basis&amp;C&amp;"Arial,Bold"&amp;12 Lake Erie International High School
&amp;"Arial,Bold"&amp;14 Profit &amp;&amp; Loss
&amp;"Arial,Bold"&amp;10 July 2022 through June 2023</oddHeader>
    <oddFooter>&amp;R&amp;"Arial,Bold"&amp;8 Page &amp;P of &amp;N&amp;L&amp;"Arial,Bold"&amp;8 Unaudited Management Use Only</oddFooter>
  </headerFooter>
  <drawing r:id="rId2"/>
  <legacyDrawing r:id="rId3"/>
  <controls>
    <mc:AlternateContent xmlns:mc="http://schemas.openxmlformats.org/markup-compatibility/2006">
      <mc:Choice Requires="x14">
        <control shapeId="1025" r:id="rId4" name="FILTER">
          <controlPr defaultSize="0" autoLine="0" r:id="rId5">
            <anchor moveWithCells="1">
              <from>
                <xdr:col>0</xdr:col>
                <xdr:colOff>0</xdr:colOff>
                <xdr:row>0</xdr:row>
                <xdr:rowOff>0</xdr:rowOff>
              </from>
              <to>
                <xdr:col>4</xdr:col>
                <xdr:colOff>114300</xdr:colOff>
                <xdr:row>1</xdr:row>
                <xdr:rowOff>38100</xdr:rowOff>
              </to>
            </anchor>
          </controlPr>
        </control>
      </mc:Choice>
      <mc:Fallback>
        <control shapeId="1025" r:id="rId4" name="FILTER"/>
      </mc:Fallback>
    </mc:AlternateContent>
    <mc:AlternateContent xmlns:mc="http://schemas.openxmlformats.org/markup-compatibility/2006">
      <mc:Choice Requires="x14">
        <control shapeId="1026" r:id="rId6" name="HEADER">
          <controlPr defaultSize="0" autoLine="0" r:id="rId7">
            <anchor moveWithCells="1">
              <from>
                <xdr:col>0</xdr:col>
                <xdr:colOff>0</xdr:colOff>
                <xdr:row>0</xdr:row>
                <xdr:rowOff>0</xdr:rowOff>
              </from>
              <to>
                <xdr:col>4</xdr:col>
                <xdr:colOff>114300</xdr:colOff>
                <xdr:row>1</xdr:row>
                <xdr:rowOff>38100</xdr:rowOff>
              </to>
            </anchor>
          </controlPr>
        </control>
      </mc:Choice>
      <mc:Fallback>
        <control shapeId="1026" r:id="rId6" name="HEADER"/>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82f5410-9528-4dbf-953e-06b19604bfcc" xsi:nil="true"/>
    <lcf76f155ced4ddcb4097134ff3c332f xmlns="22fc92a4-2d4b-4a6c-8d09-3c6205f3fc06">
      <Terms xmlns="http://schemas.microsoft.com/office/infopath/2007/PartnerControls"/>
    </lcf76f155ced4ddcb4097134ff3c332f>
    <_dlc_DocId xmlns="682f5410-9528-4dbf-953e-06b19604bfcc">4ACVR65RP5MX-1696420833-565137</_dlc_DocId>
    <_dlc_DocIdUrl xmlns="682f5410-9528-4dbf-953e-06b19604bfcc">
      <Url>https://charterschoolspecialists.sharepoint.com/sites/CompanyShared/_layouts/15/DocIdRedir.aspx?ID=4ACVR65RP5MX-1696420833-565137</Url>
      <Description>4ACVR65RP5MX-1696420833-565137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F21DE3D2848B648928D8957C2E638B7" ma:contentTypeVersion="19" ma:contentTypeDescription="Create a new document." ma:contentTypeScope="" ma:versionID="9631be2c94a2cdd162654ed09ffd31be">
  <xsd:schema xmlns:xsd="http://www.w3.org/2001/XMLSchema" xmlns:xs="http://www.w3.org/2001/XMLSchema" xmlns:p="http://schemas.microsoft.com/office/2006/metadata/properties" xmlns:ns2="682f5410-9528-4dbf-953e-06b19604bfcc" xmlns:ns3="22fc92a4-2d4b-4a6c-8d09-3c6205f3fc06" targetNamespace="http://schemas.microsoft.com/office/2006/metadata/properties" ma:root="true" ma:fieldsID="2b1af49590342cc56d3e61452ec13cf3" ns2:_="" ns3:_="">
    <xsd:import namespace="682f5410-9528-4dbf-953e-06b19604bfcc"/>
    <xsd:import namespace="22fc92a4-2d4b-4a6c-8d09-3c6205f3fc0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2f5410-9528-4dbf-953e-06b19604bfc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6888afee-3ed9-4001-a5c3-ce7939f61fca}" ma:internalName="TaxCatchAll" ma:showField="CatchAllData" ma:web="682f5410-9528-4dbf-953e-06b19604bfcc">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fc92a4-2d4b-4a6c-8d09-3c6205f3fc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847e17-e9f7-49bd-b85f-20f79e8f48f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0CCA7F-AE2C-4DC6-860B-EB4256CF559F}"/>
</file>

<file path=customXml/itemProps2.xml><?xml version="1.0" encoding="utf-8"?>
<ds:datastoreItem xmlns:ds="http://schemas.openxmlformats.org/officeDocument/2006/customXml" ds:itemID="{E2447EFB-CEDE-4726-81BB-0E5466286744}"/>
</file>

<file path=customXml/itemProps3.xml><?xml version="1.0" encoding="utf-8"?>
<ds:datastoreItem xmlns:ds="http://schemas.openxmlformats.org/officeDocument/2006/customXml" ds:itemID="{B44D796B-4A42-4EF4-A2BA-12D16DEC814B}"/>
</file>

<file path=customXml/itemProps4.xml><?xml version="1.0" encoding="utf-8"?>
<ds:datastoreItem xmlns:ds="http://schemas.openxmlformats.org/officeDocument/2006/customXml" ds:itemID="{6E467147-58E7-43F0-9046-CA7AA6CC02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Azender</dc:creator>
  <cp:keywords/>
  <dc:description/>
  <cp:lastModifiedBy>Michael Barnhart</cp:lastModifiedBy>
  <cp:revision/>
  <dcterms:created xsi:type="dcterms:W3CDTF">2021-05-24T17:15:39Z</dcterms:created>
  <dcterms:modified xsi:type="dcterms:W3CDTF">2024-11-15T21:19:33Z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0x010100BF21DE3D2848B648928D8957C2E638B7</vt:lpwstr>
  </property>
  <property fmtid="{D5CDD505-2E9C-101B-9397-08002B2CF9AE}" pid="3" name="_dlc_DocIdItemGuid">
    <vt:lpwstr>4d29c4fb-75a3-4cff-8a0b-5e60ace2dd6e</vt:lpwstr>
  </property>
  <property fmtid="{D5CDD505-2E9C-101B-9397-08002B2CF9AE}" pid="4" name="MediaServiceImageTags">
    <vt:lpwstr/>
  </property>
</Properties>
</file>